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codeName="ThisWorkbook" defaultThemeVersion="166925"/>
  <mc:AlternateContent xmlns:mc="http://schemas.openxmlformats.org/markup-compatibility/2006">
    <mc:Choice Requires="x15">
      <x15ac:absPath xmlns:x15ac="http://schemas.microsoft.com/office/spreadsheetml/2010/11/ac" url="https://vitoresearch.sharepoint.com/sites/2110002-reftaak-water2021-2023/Shared Documents/Gedeeld VITO-VMM/Kosteneffectiviteit droogte/Gegevens/"/>
    </mc:Choice>
  </mc:AlternateContent>
  <xr:revisionPtr revIDLastSave="83" documentId="8_{01FAFE26-97F3-41EF-B02F-6564E8ACD870}" xr6:coauthVersionLast="47" xr6:coauthVersionMax="47" xr10:uidLastSave="{B0ABEDFE-BEB1-4EE4-BFFB-BC9950100F6C}"/>
  <bookViews>
    <workbookView xWindow="22932" yWindow="-108" windowWidth="30936" windowHeight="16896" tabRatio="883" firstSheet="1" activeTab="22" xr2:uid="{D8BD1F93-6F04-4D80-AE33-8BFA8EBB8CC4}"/>
  </bookViews>
  <sheets>
    <sheet name="LEES MIJ" sheetId="57" r:id="rId1"/>
    <sheet name="Parameters &amp; assumpties" sheetId="29" r:id="rId2"/>
    <sheet name="Overzichtsgrafieken &amp; -tabellen" sheetId="36" r:id="rId3"/>
    <sheet name="Wadi" sheetId="1" r:id="rId4"/>
    <sheet name="Infiltratievelden- en stroken" sheetId="2" r:id="rId5"/>
    <sheet name="Ondiepe hor. ondergr. infilt." sheetId="13" r:id="rId6"/>
    <sheet name="Vert. ondergr. infil." sheetId="15" r:id="rId7"/>
    <sheet name="Ontharding" sheetId="3" r:id="rId8"/>
    <sheet name="Waterdoorlatende verharding (v)" sheetId="4" r:id="rId9"/>
    <sheet name="Waterdoorlatende verharding (n)" sheetId="53" r:id="rId10"/>
    <sheet name="Dakgoot afkoppelen" sheetId="44" r:id="rId11"/>
    <sheet name="Hemelwaterputten (hh)" sheetId="17" r:id="rId12"/>
    <sheet name="Hemelwaterputten (industrie)" sheetId="16" r:id="rId13"/>
    <sheet name="Erosiebestrijdingsmaatregel" sheetId="20" r:id="rId14"/>
    <sheet name="Minder bodemverdichting" sheetId="45" r:id="rId15"/>
    <sheet name="Infiltratiepoel" sheetId="27" r:id="rId16"/>
    <sheet name="Stuwtjes" sheetId="26" r:id="rId17"/>
    <sheet name="Buffer- en infiltratiegrachten" sheetId="42" r:id="rId18"/>
    <sheet name="Peilgestuurde drainage" sheetId="35" r:id="rId19"/>
    <sheet name="Koolstofgehalte" sheetId="46" r:id="rId20"/>
    <sheet name="Spaarbekkens" sheetId="32" r:id="rId21"/>
    <sheet name="Waterefficiënt beregenen" sheetId="38" r:id="rId22"/>
    <sheet name="Illegale GW-winning" sheetId="31" r:id="rId23"/>
    <sheet name="Wateraudit" sheetId="49" r:id="rId24"/>
    <sheet name="Waterhergebruik lage kwaliteit" sheetId="41" r:id="rId25"/>
    <sheet name="Waterhergebruik hoge kwaliteit" sheetId="52" r:id="rId26"/>
    <sheet name="Pomp-installaties aan sluizen" sheetId="51" r:id="rId27"/>
    <sheet name="Hydrologische herstelmaatregel" sheetId="47" r:id="rId28"/>
    <sheet name="Groene inrichting speelplaats" sheetId="11" r:id="rId29"/>
    <sheet name="Input Sirio" sheetId="56" r:id="rId30"/>
  </sheets>
  <definedNames>
    <definedName name="_ftnref1" localSheetId="0">'LEES MIJ'!$A$6</definedName>
    <definedName name="_ftnref2" localSheetId="0">'LEES MIJ'!$A$8</definedName>
    <definedName name="_Toc123716252" localSheetId="0">'LEES MIJ'!$A$3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7" l="1" a="1"/>
  <c r="D8" i="17" s="1"/>
  <c r="C21" i="17" s="1"/>
  <c r="D8" i="15" a="1"/>
  <c r="D8" i="15" s="1"/>
  <c r="L38" i="56"/>
  <c r="N38" i="56"/>
  <c r="L39" i="56"/>
  <c r="N39" i="56"/>
  <c r="L40" i="56"/>
  <c r="N40" i="56"/>
  <c r="L41" i="56"/>
  <c r="N41" i="56"/>
  <c r="L28" i="56"/>
  <c r="N28" i="56"/>
  <c r="L29" i="56"/>
  <c r="N29" i="56"/>
  <c r="L30" i="56"/>
  <c r="N30" i="56"/>
  <c r="L31" i="56"/>
  <c r="N31" i="56"/>
  <c r="D7" i="26" l="1"/>
  <c r="N51" i="56" l="1"/>
  <c r="N52" i="56"/>
  <c r="N53" i="56"/>
  <c r="N54" i="56"/>
  <c r="N55" i="56"/>
  <c r="N56" i="56"/>
  <c r="N57" i="56"/>
  <c r="N58" i="56"/>
  <c r="N59" i="56"/>
  <c r="N60" i="56"/>
  <c r="L51" i="56"/>
  <c r="L52" i="56"/>
  <c r="L53" i="56"/>
  <c r="L54" i="56"/>
  <c r="L55" i="56"/>
  <c r="L56" i="56"/>
  <c r="L57" i="56"/>
  <c r="L58" i="56"/>
  <c r="L59" i="56"/>
  <c r="L60" i="56"/>
  <c r="L42" i="56"/>
  <c r="L43" i="56"/>
  <c r="L44" i="56"/>
  <c r="L45" i="56"/>
  <c r="L46" i="56"/>
  <c r="L47" i="56"/>
  <c r="L48" i="56"/>
  <c r="L49" i="56"/>
  <c r="L50" i="56"/>
  <c r="L61" i="56"/>
  <c r="N61" i="56"/>
  <c r="N50" i="56"/>
  <c r="N49" i="56"/>
  <c r="N48" i="56"/>
  <c r="N47" i="56"/>
  <c r="N46" i="56"/>
  <c r="N45" i="56"/>
  <c r="N44" i="56"/>
  <c r="N43" i="56"/>
  <c r="N42" i="56"/>
  <c r="D8" i="26" l="1"/>
  <c r="E17" i="17" l="1"/>
  <c r="E21" i="17" l="1"/>
  <c r="D53" i="36" s="1"/>
  <c r="L2" i="56"/>
  <c r="L12" i="56"/>
  <c r="L4" i="56"/>
  <c r="L14" i="56"/>
  <c r="L6" i="56"/>
  <c r="L16" i="56"/>
  <c r="L8" i="56"/>
  <c r="L18" i="56"/>
  <c r="L10" i="56"/>
  <c r="L20" i="56"/>
  <c r="L22" i="56"/>
  <c r="L32" i="56"/>
  <c r="L24" i="56"/>
  <c r="L34" i="56"/>
  <c r="L26" i="56"/>
  <c r="L36" i="56"/>
  <c r="L3" i="56"/>
  <c r="L13" i="56"/>
  <c r="L5" i="56"/>
  <c r="L15" i="56"/>
  <c r="L7" i="56"/>
  <c r="L17" i="56"/>
  <c r="L9" i="56"/>
  <c r="L19" i="56"/>
  <c r="L11" i="56"/>
  <c r="L21" i="56"/>
  <c r="L23" i="56"/>
  <c r="L33" i="56"/>
  <c r="L25" i="56"/>
  <c r="L35" i="56"/>
  <c r="L27" i="56"/>
  <c r="L37" i="56"/>
  <c r="D7" i="15" l="1" a="1"/>
  <c r="D7" i="15" s="1"/>
  <c r="D7" i="13" a="1"/>
  <c r="D7" i="13" s="1"/>
  <c r="D7" i="53" a="1"/>
  <c r="D7" i="53" s="1"/>
  <c r="D7" i="4" a="1"/>
  <c r="D7" i="4" s="1"/>
  <c r="D7" i="3" a="1"/>
  <c r="D7" i="3" s="1"/>
  <c r="D7" i="2" a="1"/>
  <c r="D7" i="2" s="1"/>
  <c r="D7" i="1" a="1"/>
  <c r="D7" i="1" s="1"/>
  <c r="D12" i="1" a="1"/>
  <c r="D12" i="1" s="1"/>
  <c r="C12" i="1" a="1"/>
  <c r="C12" i="1" s="1"/>
  <c r="N37" i="56"/>
  <c r="N27" i="56"/>
  <c r="N35" i="56"/>
  <c r="N25" i="56"/>
  <c r="N33" i="56"/>
  <c r="N23" i="56"/>
  <c r="D8" i="1" a="1"/>
  <c r="D8" i="1" s="1"/>
  <c r="N21" i="56"/>
  <c r="N11" i="56"/>
  <c r="N19" i="56"/>
  <c r="N9" i="56"/>
  <c r="N17" i="56"/>
  <c r="N7" i="56"/>
  <c r="N15" i="56"/>
  <c r="N5" i="56"/>
  <c r="N13" i="56"/>
  <c r="N3" i="56"/>
  <c r="N36" i="56"/>
  <c r="N26" i="56"/>
  <c r="N34" i="56"/>
  <c r="N24" i="56"/>
  <c r="N32" i="56"/>
  <c r="N22" i="56"/>
  <c r="N20" i="56"/>
  <c r="N10" i="56"/>
  <c r="D7" i="44" s="1" a="1"/>
  <c r="D7" i="44" s="1"/>
  <c r="N18" i="56"/>
  <c r="N8" i="56"/>
  <c r="N16" i="56"/>
  <c r="N6" i="56"/>
  <c r="N14" i="56"/>
  <c r="N4" i="56"/>
  <c r="N12" i="56"/>
  <c r="N2" i="56"/>
  <c r="E13" i="15"/>
  <c r="E12" i="15"/>
  <c r="E13" i="2"/>
  <c r="D8" i="2" l="1" a="1"/>
  <c r="D8" i="2" s="1"/>
  <c r="D8" i="13" a="1"/>
  <c r="D8" i="13" s="1"/>
  <c r="D8" i="27" a="1"/>
  <c r="D8" i="27" s="1"/>
  <c r="D7" i="35"/>
  <c r="E11" i="4" l="1"/>
  <c r="E46" i="13" l="1"/>
  <c r="E12" i="4" l="1"/>
  <c r="C16" i="41" l="1"/>
  <c r="D16" i="41"/>
  <c r="E11" i="3" l="1"/>
  <c r="D11" i="3"/>
  <c r="D8" i="42" l="1"/>
  <c r="E11" i="42"/>
  <c r="D12" i="42"/>
  <c r="D13" i="42" s="1"/>
  <c r="C12" i="42"/>
  <c r="C13" i="42" s="1"/>
  <c r="E12" i="26"/>
  <c r="E10" i="53" l="1"/>
  <c r="D11" i="4"/>
  <c r="C11" i="4"/>
  <c r="E13" i="53" l="1"/>
  <c r="E16" i="53" s="1"/>
  <c r="C13" i="53"/>
  <c r="C16" i="53" s="1"/>
  <c r="D13" i="53"/>
  <c r="D16" i="53" s="1"/>
  <c r="C15" i="36" l="1"/>
  <c r="D15" i="36"/>
  <c r="B15" i="36"/>
  <c r="D7" i="27" l="1"/>
  <c r="E13" i="52" l="1"/>
  <c r="E16" i="52" s="1"/>
  <c r="D76" i="36" s="1"/>
  <c r="D13" i="52"/>
  <c r="D16" i="52" s="1"/>
  <c r="C76" i="36" s="1"/>
  <c r="C13" i="52"/>
  <c r="C16" i="52" s="1"/>
  <c r="B76" i="36" s="1"/>
  <c r="C13" i="41"/>
  <c r="D13" i="41"/>
  <c r="E13" i="41"/>
  <c r="E16" i="41" s="1"/>
  <c r="D7" i="49" l="1"/>
  <c r="D12" i="45"/>
  <c r="E11" i="45"/>
  <c r="E12" i="45" s="1"/>
  <c r="C11" i="45"/>
  <c r="C12" i="45" s="1"/>
  <c r="E10" i="45"/>
  <c r="E13" i="45" l="1"/>
  <c r="C13" i="45"/>
  <c r="D13" i="45"/>
  <c r="E11" i="44" l="1"/>
  <c r="D11" i="44"/>
  <c r="D13" i="44" s="1"/>
  <c r="C11" i="44"/>
  <c r="C13" i="44" s="1"/>
  <c r="C16" i="44" s="1"/>
  <c r="E11" i="51" l="1"/>
  <c r="E12" i="51" s="1"/>
  <c r="E15" i="51" s="1"/>
  <c r="D73" i="36" s="1"/>
  <c r="D12" i="51"/>
  <c r="D15" i="51" s="1"/>
  <c r="C73" i="36" s="1"/>
  <c r="C12" i="51"/>
  <c r="C15" i="51" s="1"/>
  <c r="B73" i="36" s="1"/>
  <c r="E12" i="46" l="1"/>
  <c r="E14" i="46" s="1"/>
  <c r="E17" i="46" s="1"/>
  <c r="D12" i="47" l="1"/>
  <c r="C12" i="47"/>
  <c r="D48" i="36" l="1"/>
  <c r="E11" i="49"/>
  <c r="E13" i="49" s="1"/>
  <c r="C11" i="49"/>
  <c r="C13" i="49" s="1"/>
  <c r="C16" i="49" s="1"/>
  <c r="C13" i="47"/>
  <c r="C16" i="47" s="1"/>
  <c r="D13" i="47"/>
  <c r="D16" i="47" s="1"/>
  <c r="C44" i="20"/>
  <c r="D44" i="20"/>
  <c r="D43" i="20"/>
  <c r="C43" i="20"/>
  <c r="E42" i="20"/>
  <c r="D42" i="20"/>
  <c r="C42" i="20"/>
  <c r="C12" i="16"/>
  <c r="C13" i="16" s="1"/>
  <c r="C16" i="16" s="1"/>
  <c r="D12" i="16"/>
  <c r="D13" i="16" s="1"/>
  <c r="D16" i="16" s="1"/>
  <c r="E12" i="16"/>
  <c r="E13" i="16" s="1"/>
  <c r="E16" i="16" s="1"/>
  <c r="B14" i="36"/>
  <c r="E13" i="44"/>
  <c r="E16" i="44" s="1"/>
  <c r="D16" i="44"/>
  <c r="B77" i="36" l="1"/>
  <c r="C79" i="36"/>
  <c r="B79" i="36"/>
  <c r="D14" i="36"/>
  <c r="C14" i="36"/>
  <c r="D17" i="16"/>
  <c r="E17" i="16"/>
  <c r="C17" i="16"/>
  <c r="E13" i="1" l="1"/>
  <c r="D12" i="38" l="1"/>
  <c r="C12" i="38"/>
  <c r="E12" i="38" s="1"/>
  <c r="E10" i="38" l="1"/>
  <c r="D13" i="38" s="1"/>
  <c r="C13" i="38"/>
  <c r="C16" i="38" s="1"/>
  <c r="B80" i="36" l="1"/>
  <c r="D12" i="32"/>
  <c r="E12" i="32"/>
  <c r="C12" i="32"/>
  <c r="B78" i="36"/>
  <c r="E11" i="47"/>
  <c r="E12" i="47" l="1"/>
  <c r="E13" i="47"/>
  <c r="E16" i="47" s="1"/>
  <c r="C78" i="36"/>
  <c r="D78" i="36"/>
  <c r="D13" i="15" l="1"/>
  <c r="C13" i="15"/>
  <c r="E12" i="27"/>
  <c r="D14" i="11"/>
  <c r="D17" i="11" s="1"/>
  <c r="C13" i="11"/>
  <c r="C14" i="11" s="1"/>
  <c r="D13" i="11"/>
  <c r="E12" i="3"/>
  <c r="E45" i="13"/>
  <c r="E47" i="13"/>
  <c r="E24" i="13"/>
  <c r="C14" i="13"/>
  <c r="D14" i="13"/>
  <c r="E12" i="13"/>
  <c r="E15" i="13" s="1"/>
  <c r="E14" i="13"/>
  <c r="E35" i="13"/>
  <c r="E34" i="13"/>
  <c r="D37" i="13" s="1"/>
  <c r="D41" i="13" s="1"/>
  <c r="D36" i="13"/>
  <c r="C36" i="13"/>
  <c r="C25" i="13"/>
  <c r="D25" i="13"/>
  <c r="D13" i="2"/>
  <c r="E12" i="42"/>
  <c r="E13" i="42" s="1"/>
  <c r="D12" i="2"/>
  <c r="C12" i="2"/>
  <c r="C51" i="36" l="1"/>
  <c r="C17" i="11"/>
  <c r="E48" i="13"/>
  <c r="E52" i="13" s="1"/>
  <c r="C37" i="13"/>
  <c r="C41" i="13" s="1"/>
  <c r="E19" i="13"/>
  <c r="D15" i="13"/>
  <c r="D18" i="13" s="1"/>
  <c r="C15" i="13"/>
  <c r="E36" i="13"/>
  <c r="E37" i="13" s="1"/>
  <c r="E12" i="1"/>
  <c r="E12" i="2" s="1"/>
  <c r="E16" i="49"/>
  <c r="D55" i="36" l="1"/>
  <c r="D77" i="36"/>
  <c r="D57" i="36"/>
  <c r="B51" i="36"/>
  <c r="E14" i="42"/>
  <c r="D14" i="42"/>
  <c r="C14" i="42"/>
  <c r="D19" i="13"/>
  <c r="C19" i="13"/>
  <c r="E41" i="13"/>
  <c r="D13" i="49"/>
  <c r="D16" i="49" s="1"/>
  <c r="D51" i="36" l="1"/>
  <c r="C77" i="36"/>
  <c r="B55" i="36"/>
  <c r="C55" i="36"/>
  <c r="D18" i="42"/>
  <c r="D17" i="42"/>
  <c r="C18" i="42"/>
  <c r="C17" i="42"/>
  <c r="E18" i="42"/>
  <c r="E17" i="42"/>
  <c r="D13" i="35"/>
  <c r="D12" i="35"/>
  <c r="C12" i="35"/>
  <c r="C13" i="35" s="1"/>
  <c r="D12" i="36" l="1"/>
  <c r="B46" i="36"/>
  <c r="B12" i="36"/>
  <c r="D46" i="36"/>
  <c r="C46" i="36"/>
  <c r="C12" i="36"/>
  <c r="E11" i="38"/>
  <c r="E13" i="38" l="1"/>
  <c r="E16" i="38" s="1"/>
  <c r="D16" i="38"/>
  <c r="E13" i="11"/>
  <c r="E25" i="13"/>
  <c r="E23" i="13"/>
  <c r="D38" i="20"/>
  <c r="D11" i="20"/>
  <c r="D8" i="11"/>
  <c r="C18" i="11" s="1"/>
  <c r="E12" i="35"/>
  <c r="E13" i="35" s="1"/>
  <c r="C80" i="36" l="1"/>
  <c r="D80" i="36"/>
  <c r="C47" i="20"/>
  <c r="D47" i="20"/>
  <c r="E14" i="11"/>
  <c r="D18" i="11"/>
  <c r="C26" i="13"/>
  <c r="D26" i="13"/>
  <c r="E26" i="13"/>
  <c r="E10" i="32"/>
  <c r="E18" i="11" l="1"/>
  <c r="E17" i="11"/>
  <c r="E30" i="13"/>
  <c r="D30" i="13"/>
  <c r="C30" i="13"/>
  <c r="D14" i="35"/>
  <c r="C14" i="35"/>
  <c r="E14" i="35"/>
  <c r="E13" i="32"/>
  <c r="D13" i="32"/>
  <c r="C13" i="32"/>
  <c r="D13" i="26"/>
  <c r="E13" i="26"/>
  <c r="C13" i="26"/>
  <c r="C52" i="36" l="1"/>
  <c r="D52" i="36"/>
  <c r="B52" i="36"/>
  <c r="E16" i="32"/>
  <c r="E17" i="32"/>
  <c r="D16" i="32"/>
  <c r="D17" i="32"/>
  <c r="D17" i="35"/>
  <c r="D18" i="35"/>
  <c r="C17" i="35"/>
  <c r="C18" i="35"/>
  <c r="E18" i="35"/>
  <c r="E17" i="35"/>
  <c r="C16" i="32"/>
  <c r="C17" i="32"/>
  <c r="D74" i="36" l="1"/>
  <c r="C74" i="36"/>
  <c r="C75" i="36"/>
  <c r="D75" i="36"/>
  <c r="B74" i="36"/>
  <c r="B75" i="36"/>
  <c r="E51" i="13"/>
  <c r="B11" i="36"/>
  <c r="B42" i="36"/>
  <c r="C11" i="36"/>
  <c r="C42" i="36"/>
  <c r="D11" i="36"/>
  <c r="D42" i="36"/>
  <c r="E18" i="13"/>
  <c r="C18" i="13"/>
  <c r="C40" i="13"/>
  <c r="D40" i="13"/>
  <c r="E40" i="13"/>
  <c r="E29" i="13"/>
  <c r="C29" i="13"/>
  <c r="D29" i="13"/>
  <c r="E11" i="27"/>
  <c r="E11" i="26"/>
  <c r="E14" i="20"/>
  <c r="D17" i="20" s="1"/>
  <c r="E11" i="15"/>
  <c r="E10" i="4"/>
  <c r="E10" i="3"/>
  <c r="C13" i="3" s="1"/>
  <c r="E11" i="2"/>
  <c r="E11" i="1"/>
  <c r="D54" i="36"/>
  <c r="E16" i="17"/>
  <c r="D16" i="17"/>
  <c r="C16" i="17"/>
  <c r="C20" i="17" s="1"/>
  <c r="C16" i="3" l="1"/>
  <c r="D18" i="36"/>
  <c r="B18" i="36"/>
  <c r="D20" i="36"/>
  <c r="D19" i="36"/>
  <c r="C20" i="36"/>
  <c r="C19" i="36"/>
  <c r="B19" i="36"/>
  <c r="C18" i="36"/>
  <c r="B20" i="36"/>
  <c r="D23" i="36"/>
  <c r="E13" i="4"/>
  <c r="C13" i="4"/>
  <c r="D13" i="4"/>
  <c r="E14" i="2"/>
  <c r="D14" i="2"/>
  <c r="D18" i="2" s="1"/>
  <c r="C14" i="2"/>
  <c r="C18" i="2" s="1"/>
  <c r="C14" i="1"/>
  <c r="C18" i="1" s="1"/>
  <c r="D14" i="1"/>
  <c r="D18" i="1" s="1"/>
  <c r="E14" i="1"/>
  <c r="C14" i="15"/>
  <c r="C17" i="15" s="1"/>
  <c r="D14" i="15"/>
  <c r="E14" i="15"/>
  <c r="E17" i="15" s="1"/>
  <c r="E13" i="3"/>
  <c r="E16" i="3" s="1"/>
  <c r="D13" i="3"/>
  <c r="D16" i="3" s="1"/>
  <c r="D14" i="27"/>
  <c r="E14" i="27"/>
  <c r="E20" i="17"/>
  <c r="D20" i="17"/>
  <c r="E14" i="26"/>
  <c r="C14" i="26"/>
  <c r="D14" i="26"/>
  <c r="C17" i="20"/>
  <c r="C14" i="27"/>
  <c r="C18" i="27" s="1"/>
  <c r="E18" i="1" l="1"/>
  <c r="E17" i="1"/>
  <c r="C81" i="36"/>
  <c r="B81" i="36"/>
  <c r="D81" i="36"/>
  <c r="C17" i="27"/>
  <c r="D22" i="36"/>
  <c r="C17" i="26"/>
  <c r="C18" i="26"/>
  <c r="E18" i="27"/>
  <c r="E17" i="27" s="1"/>
  <c r="D18" i="27"/>
  <c r="E18" i="15"/>
  <c r="D18" i="15"/>
  <c r="D17" i="15"/>
  <c r="C18" i="15"/>
  <c r="B22" i="36"/>
  <c r="B45" i="36"/>
  <c r="D17" i="26"/>
  <c r="D18" i="26"/>
  <c r="E17" i="26"/>
  <c r="E18" i="26"/>
  <c r="E11" i="31"/>
  <c r="E14" i="31" s="1"/>
  <c r="B10" i="36" l="1"/>
  <c r="B13" i="36"/>
  <c r="D56" i="36"/>
  <c r="C56" i="36"/>
  <c r="B44" i="36"/>
  <c r="D17" i="27"/>
  <c r="C10" i="36" s="1"/>
  <c r="D13" i="36"/>
  <c r="B56" i="36"/>
  <c r="D44" i="36"/>
  <c r="C13" i="36"/>
  <c r="C44" i="36"/>
  <c r="D10" i="36"/>
  <c r="C22" i="36"/>
  <c r="C45" i="36"/>
  <c r="C43" i="36"/>
  <c r="E43" i="20"/>
  <c r="D20" i="20"/>
  <c r="C20" i="20"/>
  <c r="C21" i="36"/>
  <c r="B21" i="36"/>
  <c r="E16" i="20"/>
  <c r="E15" i="20"/>
  <c r="B47" i="36" l="1"/>
  <c r="C47" i="36"/>
  <c r="E44" i="20"/>
  <c r="E47" i="20" s="1"/>
  <c r="E17" i="20"/>
  <c r="E20" i="20" s="1"/>
  <c r="B43" i="36"/>
  <c r="D43" i="36" l="1"/>
  <c r="D47" i="36"/>
  <c r="D45" i="36"/>
  <c r="D79" i="36"/>
  <c r="D15" i="17" l="1"/>
  <c r="E15" i="17"/>
  <c r="E13" i="17"/>
  <c r="D13" i="17"/>
  <c r="D17" i="17" s="1"/>
  <c r="D21" i="17" s="1"/>
  <c r="C53" i="36" s="1"/>
  <c r="C13" i="17"/>
  <c r="C15" i="17"/>
  <c r="C17" i="17" l="1"/>
  <c r="B53" i="36" s="1"/>
  <c r="D21" i="36"/>
  <c r="D16" i="4" l="1"/>
  <c r="C17" i="1"/>
  <c r="B50" i="36"/>
  <c r="D17" i="1"/>
  <c r="C50" i="36"/>
  <c r="C24" i="36" l="1"/>
  <c r="C17" i="36"/>
  <c r="B17" i="36"/>
  <c r="C16" i="4"/>
  <c r="E16" i="4"/>
  <c r="D50" i="36"/>
  <c r="C49" i="36"/>
  <c r="D17" i="2"/>
  <c r="B49" i="36"/>
  <c r="C17" i="2"/>
  <c r="E18" i="2"/>
  <c r="D24" i="36" l="1"/>
  <c r="B24" i="36"/>
  <c r="D17" i="36"/>
  <c r="B16" i="36"/>
  <c r="C16" i="36"/>
  <c r="E17" i="2"/>
  <c r="D49" i="36"/>
  <c r="D16" i="3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B2115C-CFB6-49EF-9B7F-0EC9B1501415}" keepAlive="1" name="Query - custom_costbenefit_unitprices" description="Connection to the 'custom_costbenefit_unitprices' query in the workbook." type="5" refreshedVersion="6" background="1">
    <dbPr connection="Provider=Microsoft.Mashup.OleDb.1;Data Source=$Workbook$;Location=custom_costbenefit_unitprices;Extended Properties=&quot;&quot;" command="SELECT * FROM [custom_costbenefit_unitprice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<sst xmlns="http://schemas.openxmlformats.org/spreadsheetml/2006/main" count="2171" uniqueCount="518">
  <si>
    <t>INFOFICHES PROACTIEVE DROOGTEMAATREGELEN VMM-VITO</t>
  </si>
  <si>
    <t>Context en doelstelling</t>
  </si>
  <si>
    <r>
      <t>De voorbije zomers hebben aangetoond dat Vlaanderen kwetsbaar is voor waterschaarste. Bovendien geven de klimaatprojecties aan dat dergelijke zomers die vroeger eerder uitzonderlijk waren, vaker zullen voorkomen.
Diverse actoren zoals steden en gemeenten willen actie nemen om de kans op waterschaarste te beperken. De Vlaamse overheid tekende reeds een reactief afwegingskader uit dat beslissingsnemers in tijden van extreme droogte toelaat voorzorgsmaatregelen te nemen en prioritair watergebruik te bepalen . Proactieve maatregelen, die erop gericht zijn om op langere termijn de gevolgen van droge periodes op waterschaarste te beperken, komen niet aan bod in dit kader. 
De Europese kaderrichtlijn Water schrijft voor dat lidstaten kosteneffectieve maatregelenprogramma’s moeten voorstellen.</t>
    </r>
    <r>
      <rPr>
        <b/>
        <sz val="11"/>
        <color theme="1"/>
        <rFont val="Calibri"/>
        <family val="2"/>
        <scheme val="minor"/>
      </rPr>
      <t xml:space="preserve"> Deze studie geeft een overzicht van een diverse set proactieve droogtemaatregelen en kijkt met name naar de kosten en de mogelijke effecten ervan om zo op hoofdlijnen de kosteneffectiviteit te bepalen. Met deze informatie kunnen beleidsmakers, steden en gemeenten, projectontwikkelaars, … aan de slag om maatregelen te selecteren en toe te passen op basis van hun kosteneffectiviteit.</t>
    </r>
    <r>
      <rPr>
        <sz val="11"/>
        <color theme="1"/>
        <rFont val="Calibri"/>
        <family val="2"/>
        <scheme val="minor"/>
      </rPr>
      <t xml:space="preserve"> Deze analyse draagt bij aan initiatieven zoals het Stroomgebiedbeheerplan, de Blue Deal en de uitbouw van klimaatadaptietools binnen het klimaatportaal . 
Deze opdracht is onderdeel van de referentietaak Water die VITO uitvoert in opdracht van VMM. Deze referentietaak heeft tot doel het waterbeleid in Vlaanderen een sterkere economische onderbouwing te geven.</t>
    </r>
    <r>
      <rPr>
        <b/>
        <sz val="11"/>
        <color theme="1"/>
        <rFont val="Calibri"/>
        <family val="2"/>
        <scheme val="minor"/>
      </rPr>
      <t xml:space="preserve"> Ter ondersteuning van dit document werd ook een rapport opgesteld die de methode en resultaten van deze fiches bespreekt. Dit rapport is te vinden via: </t>
    </r>
    <r>
      <rPr>
        <b/>
        <sz val="11"/>
        <color rgb="FFFF0000"/>
        <rFont val="Calibri"/>
        <family val="2"/>
        <scheme val="minor"/>
      </rPr>
      <t>LINK</t>
    </r>
  </si>
  <si>
    <t>Keuze maatregelen</t>
  </si>
  <si>
    <t xml:space="preserve">De maatregelen die onderzocht werden in deze studie, zijn gebaseerd op de droogte-relevante acties gedefinieerd in het derde ontwerp stroomgebiedbeheerplan en maatregelen die uit een literatuurstudie voor het klimaatportaal van VMM relevant bleken te zijn voor droogte. Daarnaast speelde ook de beschikbaarheid van data een rol bij het al dan niet opnemen van maatregelen in deze analyse. 
Er werd in de grafiek een opsplitsing gemaakt tussen de maatregelen die vooral toepassing vinden in een landelijke omgeving, en deze die vooral in een stedelijke context geïmplementeerd worden. Gezien de landelijke maatregelen grotendeels kosteneffectiever zijn, zou de verkeerde conclusie kunnen getrokken worden dat louter ingezet moet worden op deze set van maatregelen. Voor een integraal waterbeleid zijn echter maatregelen nodig in zowel het buitengebied als in een stedelijk context. Daarnaast blijft het algemeen gezien ook moeilijk om de landelijke maatregelen één-op-één te vergelijken met de stedelijke. </t>
  </si>
  <si>
    <t>Links</t>
  </si>
  <si>
    <r>
      <t xml:space="preserve">1) Website VMM waar u het </t>
    </r>
    <r>
      <rPr>
        <b/>
        <sz val="11"/>
        <color theme="1"/>
        <rFont val="Calibri"/>
        <family val="2"/>
        <scheme val="minor"/>
      </rPr>
      <t>ondersteunende rapport</t>
    </r>
    <r>
      <rPr>
        <sz val="11"/>
        <color theme="1"/>
        <rFont val="Calibri"/>
        <family val="2"/>
        <scheme val="minor"/>
      </rPr>
      <t xml:space="preserve"> en de meest recente versie van deze fiches kan terugvinden: </t>
    </r>
    <r>
      <rPr>
        <sz val="11"/>
        <color rgb="FFFF0000"/>
        <rFont val="Calibri"/>
        <family val="2"/>
        <scheme val="minor"/>
      </rPr>
      <t>LINK</t>
    </r>
    <r>
      <rPr>
        <sz val="11"/>
        <color theme="1"/>
        <rFont val="Calibri"/>
        <family val="2"/>
        <scheme val="minor"/>
      </rPr>
      <t xml:space="preserve">
2) Emailadres waarnaar u kunt mailen indien u vragen heeft met betrekking tot dit excel-bestand of indien u zelf informatie ter beschikking hebt om deze fiches verder aan te vullen: secretariaat_kern_PIW@vmm.be</t>
    </r>
  </si>
  <si>
    <t>PARAMETERS EN ASSUMPTIES</t>
  </si>
  <si>
    <t xml:space="preserve">Deze sheet laat de gebruiker toe om zelf enkele basisassumpties/paramaters aan te passen in de lichtblauwe cellen. Deze aanpassingen worden automatisch doorgerekend in de overige sheets. </t>
  </si>
  <si>
    <t>Algemene assumpties</t>
  </si>
  <si>
    <t xml:space="preserve">De discontovoet en de levensduur van maatregelen wordt gebruikt voor de berekening van de totale jaarlijkse kost. De waarde van de discontovoet is aan te passen via een selectiemenu, voor de levensduur kan zelf een waarde ingegeven worden. </t>
  </si>
  <si>
    <t>Discontovoet</t>
  </si>
  <si>
    <t>Levensduur infrastructuur (jaar)</t>
  </si>
  <si>
    <t>Levensduur groenvoorziening (jaar)</t>
  </si>
  <si>
    <t>Levensduur machines (jaar)</t>
  </si>
  <si>
    <t>Aantal opmerkingen</t>
  </si>
  <si>
    <t>De Kosteneffectiviteitsbeoordeling van maatregelen maakt abstractie van de kosten van grondverlies (vereiste ruimte)</t>
  </si>
  <si>
    <t>De Kosteneffectiviteitsbeoordeling van maatregelen maakt abstractie van de kosten voor het afkoppelen en transporteren van water tot aan de voorziening voor de infiltratie, buffering of hergebruik van water</t>
  </si>
  <si>
    <t>De Kosteneffectiviteitsbeoordeling van maatregelen is, zowel wat de kosten als wat de effectiviteit betreft, gebaseerd op een generieke inschatting en maakt dus abstractie van lokale omstandigheden. Maatregelen kunnen niet overal (tegen dezelfde kosten en met hetzelfde effect) gerealiseerde worden.</t>
  </si>
  <si>
    <t>De Kosteneffectiviteitsbeoordeling van maatregelen gaat voor de meeste maatregelen uit van een greenfield als uitgangssituatie. Wanneer dit niet het geval is (als bijvoorbeeld gerekend wordt met de meerkost tegenover klassieke heraanleg) wordt dit expliciet vermeld.</t>
  </si>
  <si>
    <t>Keuzemenu infiltratiemaatregelen</t>
  </si>
  <si>
    <t>Hier is het mogelijk enkele keuzes te maken met betrekking tot de infiltratiecapaciteit en buffercapaciteit van sommige maatregelen. Meer info over de opties is te vinden in het ondersteunende rapport bij deze excel. Zie link in de 'LEES MIJ' sheet.</t>
  </si>
  <si>
    <t>Bodemtype (proxy voor infiltratiesnelheid)</t>
  </si>
  <si>
    <t>Zandige leem</t>
  </si>
  <si>
    <t xml:space="preserve">Het bodemtype heeft een impact op de infiltratiesnelheid waarmee in de modelleringen van SIRIO gerekend werd. </t>
  </si>
  <si>
    <t>Klimaatscenario</t>
  </si>
  <si>
    <t>Toekomstig scenario</t>
  </si>
  <si>
    <t xml:space="preserve">Het scenario met het toekomstige klimaat komt overeen met een ‘worst case’ droogtescenario voor 2050 waarin het minder zal regenen en er ook meer verdamping zal plaatsvinden. </t>
  </si>
  <si>
    <t>Type gewestelijke stedenbouwkundige verordening</t>
  </si>
  <si>
    <t>Nieuw</t>
  </si>
  <si>
    <t>Deze keuze heeft een impact op de dimensies waarmee SIRIO resultaten doorrekent. Dit beperkt zich dus vooral tot de infiltratiecapaciteit en het buffervolume van sommige maatregelen.</t>
  </si>
  <si>
    <t>OVERZICHTSGRAFIEKEN EN -TABELLEN</t>
  </si>
  <si>
    <t>Landelijke maatregelen: groen</t>
  </si>
  <si>
    <t>(Er werd een opsplitsing gemaakt tussen de maatregelen die vooral toepassing vinden in een landelijke omgeving, en deze die vooral in een stedelijke context geïmplementeerd worden. Gezien de landelijke maatregelen grotendeels kosteneffectiever zijn, zou de verkeerde conclusie kunnen getrokken worden dat louter ingezet moet worden op deze set van maatregelen. Voor een integraal waterbeleid zijn echter maatregelen nodig in zowel het buitengebied als in een stedelijk context. )</t>
  </si>
  <si>
    <t>Stedelijke maatregelen: geel</t>
  </si>
  <si>
    <t>Maatregelen watersysteem: oranje</t>
  </si>
  <si>
    <t>Maatregelen die infiltratie stimuleren (uitgedrukt in €/m3 water geïnfiltreerd)</t>
  </si>
  <si>
    <t>Maatregel</t>
  </si>
  <si>
    <t>Min. bedrag</t>
  </si>
  <si>
    <t>Max. bedrag</t>
  </si>
  <si>
    <t>Gem. bedrag</t>
  </si>
  <si>
    <t>Infiltratiepoel</t>
  </si>
  <si>
    <t>Omvorming naar peilgestuurde drainage</t>
  </si>
  <si>
    <t>Buffer- en infiltratiegracht</t>
  </si>
  <si>
    <t>Stuwtjes</t>
  </si>
  <si>
    <t>Dakgoot afkoppelen</t>
  </si>
  <si>
    <t>Waterdoorlatende verharding (meerkost bij nieuwbouw)</t>
  </si>
  <si>
    <t>Infiltratievelden- en stroken</t>
  </si>
  <si>
    <t>Wadi</t>
  </si>
  <si>
    <t>Infiltratiekoffer</t>
  </si>
  <si>
    <t>Infiltratiekratten</t>
  </si>
  <si>
    <t>Infiltratiekelder</t>
  </si>
  <si>
    <t>Ontharding</t>
  </si>
  <si>
    <t>Infiltratiepaal</t>
  </si>
  <si>
    <t>Infiltratiebuis</t>
  </si>
  <si>
    <t>Waterdoorlatende verharding (totale kost incl. openbreken)</t>
  </si>
  <si>
    <t>Maatregelen die buffering stimuleren (uitgedrukt in €/m3 water buffercapaciteit)</t>
  </si>
  <si>
    <t>Biodam</t>
  </si>
  <si>
    <t>Grasbufferstrook</t>
  </si>
  <si>
    <t>Koolstofgehalte verhogen</t>
  </si>
  <si>
    <t>Hemelwaterput (hh)</t>
  </si>
  <si>
    <t>Hemelwaterput (industrie)</t>
  </si>
  <si>
    <t>Maatregelen die waterbesparing stimuleren (uitgedrukt in €/m3 bespaard)</t>
  </si>
  <si>
    <t>Terugpompen sluizen</t>
  </si>
  <si>
    <t>Spaarbekken</t>
  </si>
  <si>
    <t>Waterhergebruik hoge kwaliteit</t>
  </si>
  <si>
    <t>Wateraudit</t>
  </si>
  <si>
    <t>Waterhergebruik lage kwaliteit</t>
  </si>
  <si>
    <t>Hemelwaterputten (industrie)</t>
  </si>
  <si>
    <t>Druppelirrigatie</t>
  </si>
  <si>
    <t>Hemelwaterputten (hh)</t>
  </si>
  <si>
    <t>O</t>
  </si>
  <si>
    <t>1 - Beschrijving van de maatregel</t>
  </si>
  <si>
    <t xml:space="preserve">Een wadi (Water Afvoer Drainage Infiltratie) is een met grind en zand gevulde greppel of sloot, die water zowel kan vasthouden als infiltreren. Bij een wadisysteem stroomt het water van het dak niet in de riolering, maar via een bovengrondse goot in de wadi. Een wadi is beloopbaar, maar niet zwaar belastbaar. Doordat wadi’s beplant zijn, passen ze goed in tuinen. We gaan ervan uit dat een wadi dieper is dan 30cm. Meer info via: https://blauwgroenvlaanderen.be/bewoners/maatregelen/maak-een-infiltratiegracht-of-wadi/ </t>
  </si>
  <si>
    <t>2 - Effect</t>
  </si>
  <si>
    <t>Parameters</t>
  </si>
  <si>
    <t>Eenheid</t>
  </si>
  <si>
    <t>Effect</t>
  </si>
  <si>
    <t>Bronnen</t>
  </si>
  <si>
    <t>Toelichting/opmerking</t>
  </si>
  <si>
    <t>Buffercapaciteit</t>
  </si>
  <si>
    <t>m3/m2 aangesloten</t>
  </si>
  <si>
    <t>CIW leidraad: ontwerpen van bronmaatregelen</t>
  </si>
  <si>
    <t>Infiltratiecapaciteit</t>
  </si>
  <si>
    <t>Sirio</t>
  </si>
  <si>
    <t>3 - Kosten</t>
  </si>
  <si>
    <t>Technische levensduur</t>
  </si>
  <si>
    <t>Jaar</t>
  </si>
  <si>
    <t>Eigen assumptie</t>
  </si>
  <si>
    <t>Directe kosten: CAPEX</t>
  </si>
  <si>
    <t>€/aangesloten m2</t>
  </si>
  <si>
    <t>KBS en VLIF</t>
  </si>
  <si>
    <t>Kosten wadi worden volgens KBS op 75€/m2 geschat en de NPI van VLIF voor wadi's ligt op 110€/m2 (gaan ervan uit dat dit 100% van de investering dekt). Kost per m2 aangesloten oppervlakte kan gevonden worden door kostprijs per m2 te vermenigvuldigen met vereist infiltratieopp volgens GSV richtlijn (dus verschil tussen huidig of nieuw scenario en ook afhankelijk van infiltratiecapaciteit)</t>
  </si>
  <si>
    <t>Directe kosten: Variabele OPEX (jaarlijks)</t>
  </si>
  <si>
    <t>Kostenverkenner ecologisch groenbeheer INBO (https://beheerkostenverkenner.inbo.be/)</t>
  </si>
  <si>
    <t>Beheerkosten via Kostenverkenner ecologisch groenbeheertool. Beheerkosten van een soortenrijke poel:  Jaarlijks 60 à 80% van de oevervegetatie maaien in rotatie. Regelmatig schonen van de poel door het verwijderen van afvalstoffen en overtollige planten. Gem kost per m2 per jaar bedraagt 1,026€/m2.  Om de kosten per aangesloten m2 te verkrijgen moeten we dit getal vermenigvuldigen met 0,04. Dit komt op een jaarlijkse beheerkost van 0,04104 €/m2 aangesloten opp.</t>
  </si>
  <si>
    <t>Totale jaarlijkse kosten: CAPEX/jaar + OPEX</t>
  </si>
  <si>
    <t>4 - Kosteneffectiviteit</t>
  </si>
  <si>
    <t>Toelichting</t>
  </si>
  <si>
    <t>Jaarlijkse kost per m3 water geïnfiltreerd</t>
  </si>
  <si>
    <t>€/m3 geïnfiltreerd</t>
  </si>
  <si>
    <t>Kostprijs per aangesloten m2 gedeeld door 0,64</t>
  </si>
  <si>
    <t>Jaarlijkse kost per m3 water buffercapaciteit</t>
  </si>
  <si>
    <t>€/m3 buffervolume</t>
  </si>
  <si>
    <t>Kostprijs per aangesloten m2 gedeeld door 0,025</t>
  </si>
  <si>
    <t>5 - Kansen en bedreigingen voor implementatie</t>
  </si>
  <si>
    <t xml:space="preserve">Voor de aanleg van een wadi zijn enkele voorwaarden van toepassing. Zo moet de grond voldoende doorlatend zijn en de grondwatertafel min 70cm onder de kom liggen. Ook is er voldoende ruimte vereist en laat de wadi het niet toe om bereden te worden. Daarenboven mogen er niet te veel bladverliezende bomen/struiken in de buurt van de wadi aanwezig zijn want dit zorgt voor snelle verstopping (https://www.kontich.be/wadi ). Het is ook belangrijk dat de beplanting, indien van toepassing, zowel tegen droge als natte omstandigheden kan (https://blauwgroenvlaanderen.be/bewoners/maatregelen/maak-een-infiltratiegracht-of-wadi/ )
</t>
  </si>
  <si>
    <t>6 - Bijkomende effecten</t>
  </si>
  <si>
    <t>Effecten</t>
  </si>
  <si>
    <t>+/-</t>
  </si>
  <si>
    <t>Omschrijving</t>
  </si>
  <si>
    <t>Biodiversiteit</t>
  </si>
  <si>
    <t>+</t>
  </si>
  <si>
    <t>Indien aangepaste vegetatie kan een wadi de biodiversiteit bevorderen. Het dient als een ecologische verbindingszone.</t>
  </si>
  <si>
    <t>https://blauwgroenvlaanderen.be/bewoners/maatregelen/maak-een-infiltratiegracht-of-wadi/</t>
  </si>
  <si>
    <t>Luchtkwaliteit</t>
  </si>
  <si>
    <t>Wateroppervlaktes en vegetatievlakken verbeteren de luchtkwaliteit</t>
  </si>
  <si>
    <t>Wadi’s | Blauw Groen Vlaanderen</t>
  </si>
  <si>
    <t>Belevingswaarde</t>
  </si>
  <si>
    <t>Groene omgeving zorgt voor positieve belevingswaarde</t>
  </si>
  <si>
    <t>Overstromingsgevaar</t>
  </si>
  <si>
    <t xml:space="preserve">Overstromingsgevaar neemt mogelijks af door betere berging van water. </t>
  </si>
  <si>
    <t>Hitte</t>
  </si>
  <si>
    <t>Groenblauwedooradering in steden helpt hittestress te voorkomen.</t>
  </si>
  <si>
    <t>Ontlasting riolen</t>
  </si>
  <si>
    <t>Betere waterberging en infiltratie zorgt voor minder belasting van de riolen wat kosten bespaart. Ook de mate waarin overstorten in werking treden neemt af.</t>
  </si>
  <si>
    <t>B</t>
  </si>
  <si>
    <t>Infiltratievelden- en stroken zijn verdiepte, beplante stroken die mogelijks begrensd zijn door betonnen opsluitbanden. Aan de onderkant zijn ze open zodat het regenwater geborgen wordt en kan infiltreren in de bodem.
Via bovengrondse afstroming en eventueel via goten wordt het regenwater van gebouwen, straten en trottoirs naar de infiltratiestroken geleid. De bovenlaag van de infiltratiestrook bestaat uit beplante, verbeterde grond. Soms zijn de infiltratiestroken voorzien van een extra grindlaag onderin. Dit maakt een grotere berging mogelijk bij een slechter doorlatende bodem en een vertraagde infiltratie. Door het grind en de beplanting wordt het water enigszins gezuiverd voor het infiltreert. Natuurlijk moet de ondergrond geschikt zijn voor infiltratie en mag de grondwaterstand niet te hoog zijn. We gaan ervan uit dat een infiltratieveld/strook minder diep is dan 30cm Meer info via: https://blauwgroenvlaanderen.be/professionals/maatregelen/stedelijke-infiltratiestroken-bioswales &amp; https://blauwgroenvlaanderen.be/professionals/maatregelen/infiltratiekommen-en-velden</t>
  </si>
  <si>
    <t>Opmerking</t>
  </si>
  <si>
    <t>CIW leidraad ontwerpen van bronmaatregelen</t>
  </si>
  <si>
    <t>Direct kosten: CAPEX</t>
  </si>
  <si>
    <t>KBS</t>
  </si>
  <si>
    <t>Investering bedraagt 80% van aanleg Wadi</t>
  </si>
  <si>
    <t>Directe kosten: Variabele OPEX</t>
  </si>
  <si>
    <t xml:space="preserve">Gebaseerd op beheerkost van soortenrijk grasland (min) en die van een standaard gazon (max) volgens 2B-connect tool INBO. Beheer kosten van soortenrijk grasland hangen sterk af van de abiotiek van het terrein (voedselrijk vs. voedselarm, droog vs nat), alsook wat er met het maaisel gebeurt (afvoeren, stockeren op veld, beheerovereenkomst met landbouwer) en de schaal van het grasland (groot- vs. kleinschalig). Gemiddeld komen de beheerkosten op 0,201€/m2 grasland. dat zou dus neerkomen op 0,201€/m2 infiltratieveld/strook. Om de kosten per aangesloten m2 te verkrijgen moeten we dit getal vermenigvuldigen met 0,04. Dit komt op een jaarlijkse beheerkost van 0,00804€/m2 aangesloten oppervlak. Beheerkosten van gazon hangen ook af van de abiotiek van het terrein, en het Maaibeheer en -frequentie (maaien en afvoeren 15/20/25 keer per jaar / mulchmaaien gazon 20/25/30 keer per jaar) en de schaal van het gazonbeheer. De gemiddelde beheerskosten van gazon is 0,3714€/m2 infiltratieveld/strook, vermenigvuldigd met 0,04 geeft dit een kost van 0,01486€/aangesloten m2.Hierin zitten onderhoudskosten gelinkt aan eventuele leidingen die water afvoeren niet vervat. </t>
  </si>
  <si>
    <t>Kostprijs per aangesloten m2 gedeeld door m³ aangesloten</t>
  </si>
  <si>
    <t>Kostprijs per aangesloten m2 gedeeld door m³ buffer per m² aangesloten.</t>
  </si>
  <si>
    <t xml:space="preserve">De hoeveelheid neerslag die moet gebufferd worden, de doorlatendheid van de bodem en de gemiddelde grondwaterstand zijn van belang voor de afmetingen van de infiltratiestrook. De doorlatendheid van de bodem wordt bepaald door middel van infiltratieproeven. Er zijn enkele voorwaarden gekoppeld aan de aanleg van een infiltratiestrook. Indien de bodem onvoldoende doorlatend is kan gewerkt worden met een grindlaag, maar daarvoor moet het grondwaterniveau laag genoeg zijn. Er moet ook een overloop naar een riool of waterloop voorzien worden zodat de infiltratiestrook niet overstroomt bij zware regenval. De beplanting moet robuust zijn en zowel in droge als natte omstandigheden aarden. (https://blauwgroenvlaanderen.be/bewoners/maatregelen/maak-een-infiltratiegracht-of-wadi/ ) </t>
  </si>
  <si>
    <t>Indien aangepaste vegetatie kan een infiltratiegracht de biodiversiteit bevorderen. Het dient als een ecologische verbindingszone.</t>
  </si>
  <si>
    <t>Maak een infiltratiegracht of wadi | Blauw Groen Vlaanderen</t>
  </si>
  <si>
    <t>Overstromingsgevaar neemt mogelijks af door betere berging van water. Dit kan er mogelijks voor zorgen dat de verzekering verlaagd kan worden. Doordat regenwater van wegen en fietspaden wordt afgevoerd verhoogt ook de verkeersveiligheid.</t>
  </si>
  <si>
    <t>Ondiepe horizontale ondergrondse infiltratie (o.a.. Grindkoffers, infiltratiekratten, infiltratieriool)</t>
  </si>
  <si>
    <r>
      <t xml:space="preserve">Ondergrondse infiltratievolumes nemen bovengronds geen ruimte in en maken daardoor dubbel ruimtegebruik mogelijk. Ze worden gebruikt om regenwater ondergronds tijdelijk op te slaan en vervolgens vertraagd te laten infiltreren in de bodem. Ondergrondse infiltratievolumes bestaan in allerlei afmetingen. Ze zijn zowel beschikbaar voor individuele huizen als voor hele stadswijken. De kosten van zo'n systemen zijn sterk afhankelijk van de omvang, zo zullen kosten per m3 vaak dalen voor grotere volumes. De kengetallen hieronder zijn dus eerder richtinggevend. 
</t>
    </r>
    <r>
      <rPr>
        <b/>
        <sz val="11"/>
        <rFont val="Calibri"/>
        <family val="2"/>
        <scheme val="minor"/>
      </rPr>
      <t>Infiltratiekelder en betonnen infiltratieveld:</t>
    </r>
    <r>
      <rPr>
        <sz val="11"/>
        <rFont val="Calibri"/>
        <family val="2"/>
        <scheme val="minor"/>
      </rPr>
      <t xml:space="preserve"> Een infiltratiekelder is een grote put waarin een kelder met waterdoorlatende wanden wordt gebouwd. Gezien de diepte moeten er midden in de kelder kolommen aangebracht worden om de sterkte te garanderen.
Een betonnen infiltratieveld is een infiltratiekelder met beperkte hoogte (h &lt; 1 m). Hierin worden  koepelvormige kunststof cassettes (gelijken op bijzetstoeltjes) naast elkaar geplaatst. Daar bovenop komt een betonnen vloerplaat. De koepelvormige kunststof cassettes dienen als verloren bekisting voor de ter plaatse te storten dekplaat. De bodem wordt afgedekt met een niet-geweven geotextiel. De stoeltjes worden bij voorkeur op een vloerplaat in drainerend beton geplaatst. De zijwanden van het bekken bestaan uit een XPE-grondkerende kunststofplaat en geweven geotextiel. Een betonnen infiltratieveld kan worden gebruikt als kleiner systeem in gebieden met een relatief hoge grondwaterstand. Meer info via: https://blauwgroenvlaanderen.be/professionals/maatregelen/ondergronds-infiltratievolume/
</t>
    </r>
    <r>
      <rPr>
        <b/>
        <sz val="11"/>
        <rFont val="Calibri"/>
        <family val="2"/>
        <scheme val="minor"/>
      </rPr>
      <t>Infiltratiekratten:</t>
    </r>
    <r>
      <rPr>
        <sz val="11"/>
        <rFont val="Calibri"/>
        <family val="2"/>
        <scheme val="minor"/>
      </rPr>
      <t xml:space="preserve"> Een infiltratiekrat is een kunststof module met holle ruimtes (+/- 95%) en waterdoorlatende wanden. De modules kunnen zowel naast als op elkaar geplaatst worden. Het hemelwater infiltreert via de zijkanten en via de bodem. Door sedimentatie van slib kan de bodem op termijn dichtslibben. Maatregelen om dichtslibben te voorkomen zijn daarom noodzakelijk. Om inspoeling van grond te voorkomen worden de units omhuld met een geotextiel. Om infiltratie te bevorderen en beschadiging door bv. stenen te voorkomen, wordt er rondom de infiltratiekratten drainerend materiaal (waterdoorlatend drainagezand) aangebracht. Ontluchting van het systeem is noodzakelijk. De inspecteerbaarheid van het systeem is afhankelijk van het type infiltratiekrat en van de opbouw van het geheel (aanwezigheid inspectieputjes…). https://infiltratiewaaier.waterbewustbouwen.be/infiltratiesysteem/13
</t>
    </r>
    <r>
      <rPr>
        <b/>
        <sz val="11"/>
        <rFont val="Calibri"/>
        <family val="2"/>
        <scheme val="minor"/>
      </rPr>
      <t>Infiltratiekoffer:</t>
    </r>
    <r>
      <rPr>
        <sz val="11"/>
        <rFont val="Calibri"/>
        <family val="2"/>
        <scheme val="minor"/>
      </rPr>
      <t xml:space="preserve"> Een infiltratiekoffer is een ondergronds reservoir dat gevuld is met een grof aggregaat (bv. grint, lava of kleikorrels) met een goede doorlatendheid en relatief hoog poriëngehalte. Het geheel wordt omwikkeld met een geotextiel. Het hemelwater infiltreert via de zijkanten en via de bodem. Door sedimentatie van slib kan de bodem op termijn dichtslibben. Maatregelen om dichtslibben te voorkomen zijn daarom noodzakelijk.
Om het buffervolume te verhogen kan er gebruik gemaakt worden van infiltratietunnels. Dit zijn halfronde holle kunststofmodules, die aangebracht worden in een infiltratiekoffer van steenslag of gebroken puin. De modules worden in de lengte geschakeld en op de uiteinden afgedekt met een eindplaat. De draagkracht van deze toepassing is groot. Het buffervolume wordt bepaald door het poriënvolume van de koffer en het buffervolume van de infiltratietunnels. Ontluchting van het systeem is noodzakelijk. De inspecteerbaarheid van het systeem is afhankelijk van de opbouw van het geheel (aanwezigheid inspectieputjes…) https://infiltratiewaaier.waterbewustbouwen.be/infiltratiesysteem/18
</t>
    </r>
    <r>
      <rPr>
        <b/>
        <sz val="11"/>
        <rFont val="Calibri"/>
        <family val="2"/>
        <scheme val="minor"/>
      </rPr>
      <t>Infiltratiebuis:</t>
    </r>
    <r>
      <rPr>
        <sz val="11"/>
        <rFont val="Calibri"/>
        <family val="2"/>
        <scheme val="minor"/>
      </rPr>
      <t xml:space="preserve"> Bij infiltratiebuizen wordt het regenwater ondergronds door een met geotextiel omwikkelde geperforeerde horizontale buis in de bodem geïnfiltreerd. Een infiltratiebuis kan gebruikt worden onder of naast verharde oppervlakken waar geen ruimte is voor een infiltratiegracht of wadi. Een infiltratiebuis moet altijd boven het grondwater liggen. Als niet al het regenwater kan worden geïnfiltreerd, zal de buis werken als een gewone afvoer. Een infiltratiebuis heeft als voordeel dat ze geen plaats inneemt op het maaiveld. Bovendien kan een infiltratiebuis functioneren als een transportriool. Ze kan infiltreren en bij te hoge grondwaterstanden ook draineren (wat eigenlijk ook  een nadeel is want dit verlaagt de grondwatertafel en dat is meestal niet de bedoeling). Meer info via: https://blauwgroenvlaanderen.be/professionals/maatregelen/infiltratieriool/</t>
    </r>
  </si>
  <si>
    <t>2 - Effect (zelfde voor alle maatregelen in deze fiche)</t>
  </si>
  <si>
    <t>Vademecum Vlario 'Afkoppelen van hemelwater', hanteert volgende dimensionering voor infiltratievoorzieningen: 25l/m2 afwaterende oppervlakte, maar ook mogelijke nieuwe richtlijn. hangt dus af van versie GSV waarmee gerekend wordt (https://www.vlario.be/website/files/downloads/vademecum-update-2021.pdf )</t>
  </si>
  <si>
    <t>SIRIO</t>
  </si>
  <si>
    <t>INFILTRATIEKELDER</t>
  </si>
  <si>
    <t>3b - Kosten</t>
  </si>
  <si>
    <t>Direct kosten infiltratiekelder: CAPEX</t>
  </si>
  <si>
    <t>€/m3</t>
  </si>
  <si>
    <t>Aquafin, Partners GlaWInO</t>
  </si>
  <si>
    <t>Kosten via Partners GlaWInO, op basis van offerte-aanvragen en gesprekken met partners.</t>
  </si>
  <si>
    <t>Directe kosten infiltratiekelder: Variabele OPEX</t>
  </si>
  <si>
    <t xml:space="preserve">Eigen assumptie dat onderhoudskosten ongeveer 1% van de investeringskosten bedragen. </t>
  </si>
  <si>
    <t xml:space="preserve">Lage frequentie onderhoud is mogelijk bij goede uitvoering. Er moet gelet worden op: 1) Vlotte inspecteerbaarheid met standaard rioolcamera's en toegangsmogelijkheden; 2) omvang en bereikbaarheid door reinigingsvrachtwagens (op openbare weg is deze toegankelijkheid ideaal). </t>
  </si>
  <si>
    <t>Totale jaarlijkse kosten infiltratiekelder: CAPEX/jaar + OPEX</t>
  </si>
  <si>
    <t>4b - Kosteneffectiviteit</t>
  </si>
  <si>
    <t>INFILTRATIEKRATTEN</t>
  </si>
  <si>
    <t>3c - Kosten</t>
  </si>
  <si>
    <t>https://blauwgroenvlaanderen.be/professionals/maatregelen/ondergronds-infiltratievolume/</t>
  </si>
  <si>
    <t>Gewaarborgde levensduur van infiltratiekratten is min 50 jaar</t>
  </si>
  <si>
    <t>Direct kosten infiltratiekratten: CAPEX</t>
  </si>
  <si>
    <t>Partners GlaWInO &amp; bouwdepot</t>
  </si>
  <si>
    <t>Kosten via Partners GlaWInO. Liggen in lijn met kostprijzen op de markt; via https://www.bouwdepot.be/ds-infiltratiekrat-geotextiel-600l.html vinden we dat een DS infiltratiekrat met inhoud van 615l kost €259 (afmetingen: l180cm,b60cm,h60cm).</t>
  </si>
  <si>
    <t>Directe kosten infiltratiekratten: Variabele OPEX</t>
  </si>
  <si>
    <t>Totale jaarlijkse kosten infiltratiekratten: CAPEX/jaar + OPEX</t>
  </si>
  <si>
    <t>4c - Kosteneffectiviteit</t>
  </si>
  <si>
    <t>INFILTRATIEKOFFER</t>
  </si>
  <si>
    <t>3d - Kosten</t>
  </si>
  <si>
    <t>Direct kosten infiltratiekoffer: CAPEX</t>
  </si>
  <si>
    <t>Partners GlaWInO &amp; aquafin</t>
  </si>
  <si>
    <t>Directe kosten infiltratiekoffer: Variabele OPEX</t>
  </si>
  <si>
    <t xml:space="preserve">Lage frequentie onderhoud is mogelijk bij goede uitvoering. Er moet gelet worden op: 1) Vlotte inspecteerbaarheid met standaard rioolcamera's en toegangsmogelijkheden; 2) omvang en bereikbaarheid door reinigingsvrachtwagens (op openbare weg is deze toegangkelijkheid ideaal). </t>
  </si>
  <si>
    <t>Totale jaarlijkse kosten infiltratiekoffer: CAPEX/jaar + OPEX</t>
  </si>
  <si>
    <t>4d - Kosteneffectiviteit</t>
  </si>
  <si>
    <t>INFILTRATIEBUIS</t>
  </si>
  <si>
    <t>3e - Kosten</t>
  </si>
  <si>
    <t>Direct kosten infiltratiebuis: CAPEX</t>
  </si>
  <si>
    <t>Aquafin</t>
  </si>
  <si>
    <t>kost bevat aanleg riolering en wegeniskost, prijs afhankelijk van diameter van de buis. Nu berekend op diameters tussen 0,6m en 1m met min scenario een buis van 0,9 m en max scenario een buis van o,6 m</t>
  </si>
  <si>
    <t>Directe kosten infiltratiebuis: Variabele OPEX</t>
  </si>
  <si>
    <t>Totale jaarlijkse kosten infiltratiebuis: CAPEX/jaar + OPEX</t>
  </si>
  <si>
    <t>4e - Kosteneffectiviteit</t>
  </si>
  <si>
    <t xml:space="preserve">Belangrijk om op te merken dat sommige systemen effectiever zijn in buffering terwijl andere een hoger bufferend vermogen hebben (kleiner volume t.o.v. groot infiltratieoppervlak). Die nuance is niet helemaal te maken op basis van de data waarover we beschikken. De ondergrond moet voldoende doorlatend zijn om infiltratie mogelijk te maken en de grondwaterstanden mogen niet te hoog zijn. Voer hiervoor altijd infiltratieproeven en grondwaterpeilmetingen uit. Breng de ondergrond in kaart, want de bodemopbouw kan ook per locatie verschillen en de infiltratie lokaal bemoeilijken.
Bij hoge grondwaterpeilen zijn deze systemen niet mogelijk. Ze worden namelijk altijd vrij diep aangelegd om erboven de nodige wegenisopbouw te kunnen voorzien.
Uiteraard mag alleen proper regenwater worden geïnfiltreerd. Bladresten en andere grotere verontreinigingen zoals takjes en zwerfvuil moeten eerst opgevangen worden. Dit moet gebeuren op een makkelijk bereikbare plaats om regelmatig te kunnen schoonmaken. Verontreinigd regenwater moet eerst door een infiltratiekolk geleid worden voor een eerste sedimentatie. In vergelijking met bovengrondse infiltratievoorzieningen zoals een wadi hebben de ondergrondse voorzieningen het nadeel dat bijvoorbeeld verontreinigingen niet makkelijk zichtbaar zijn. Rust daarom de ondergrondse voorziening uit met een mangat voor reiniging en onderhoud. Een roosterdeksel kan dan meteen dienstdoen als ontluchting.
Net als bij ondergrondse buffers geldt dat enkel het volume onder de overstortdrempel mag in rekening gebracht worden. Bij grote helling moet in cascadesysteem gewerkt worden of moet een vlakkere locatie gezocht worden. (bron: https://blauwgroenvlaanderen.be/professionals/maatregelen/ondergronds-infiltratievolume/)  (Meer info beperkingen infiltratiekrat: https://www.rockwool.com/nl/toepassingen/rockflow/dit-is-hoe-rockflow-werkt/opvangen-vasthouden-infiltreren-en-hergebruiken-van-regenwater/infiltratiekratten/ ). De horizontale oppervlaktes van ondergrondse infiltratievoorzieningen worden niet meegerekend bij de infiltratie oppervlaktes omdat deze na verloop van tijd kunnen dichtslibben. De zijkanten zorgen nog steeds voor voldoende infiltratie. Voor een ondergrondse infiltratievoorziening voorzie je dus best zoveel mogelijk zijdelingse oppervlakte https://waterbewustbouwen.be/artikel/23/stap-voor-stap-berekening-van-een-infiltratievoorziening/). Lage frequentie onderhoud is mogelijk bij goede uitvoering. Er moet gelet worden op: 1) Vlotte inspecteerbaarheid met standaard rioolcamera's en toegangsmogelijkheden; 2) omvang en bereikbaarheid door reinigingsvrachtwagens (op openbare weg is deze toegankelijkheid ideaal). </t>
  </si>
  <si>
    <t>Overstromingsrisico</t>
  </si>
  <si>
    <t xml:space="preserve">Door meer water te bufferen/infiltreren, neemt kans op wateroverlast af. </t>
  </si>
  <si>
    <t>Waterdoorlatende onderfundering met ondoorlatende verharding | Blauw Groen Vlaanderen</t>
  </si>
  <si>
    <t>Verticale ondergrondse infiltratie (Verticale infiltratiepaal)</t>
  </si>
  <si>
    <t>Een verticale infiltratiekolom (= infiltratiepaal) bestaat uit een infiltratiebuis die verticaal wordt aangebracht in een boorgat. Bovenaan wordt al dan niet een rioolkolk in pvc met gietijzeren rooster geplaatst. De straatkolk kan ook apart van de infiltratiepaal voorzien worden. Het water zal via de geperforeerde wanden van de diepe schacht infiltreren in de bodem. Hoe meer water er in de infiltratiepaal komt, hoe meer wandoppervlak er aangesproken wordt en hoe meer er geïnfiltreerd wordt. Meer info via: https://blauwgroenvlaanderen.be/professionals/maatregelen/verticale-infiltratiepaal</t>
  </si>
  <si>
    <t>Aannemer</t>
  </si>
  <si>
    <t>Aannemer schat kostprijs van infiltratiepaal met diameter 300 op 1100€/stuk, diameter 400 op 1250€/stuk, diam 500 op 1550€/stuk, diameter 600 op 1950€/stuk.  Lengte van een infiltratiepaal ligt gemiddeld tussen de 6 en 8 meter. Wanneer we kostprijs van deze palen delen door volumes komen we een range uit tussen 485 en 2600 €/m3</t>
  </si>
  <si>
    <t>Eigen assumptie dat onderhoudskosten 1% bedragen van de investeringskosten</t>
  </si>
  <si>
    <t xml:space="preserve"> De ondergrond moet voldoende doorlatend zijn om infiltratie mogelijk te maken en de grondwaterstanden mogen niet te hoog zijn. Voer hiervoor altijd infiltratieproeven en grondwaterpeilmetingen uit. Breng de ondergrond in kaart, want de bodemopbouw kan ook per locatie verschillen en de infiltratie lokaal bemoeilijken.
De palen kunnen enkel voorzien worden op plaatsen met lage grondwaterstanden. Het is van groot belang dat de bodem van de paal zich minstens 50 cm boven het hoogste grondwaterpeil bevindt. Afstromend regenwater van de wegenis is namelijk niet perfect zuiver. Indien de paal zich in het grondwater bevindt, wordt het onzuivere water rechtstreeks in het grondwater gebracht. Daardoor is er risico op contaminatie.
Door minstens 50 cm bodem te laten tussen het te infiltreren water en het grondwater, zal de zuiverende werking van de bodem eventuele vervuilingen uit het water filteren.
Er wordt best altijd een straatkolk voorzien voor het water in de infiltratiepaal stroomt. Voorfiltering is essentieel voor de werking en een efficiënt beheer nadien. De kolk functioneert als zandvang en vermijdt dat het grofste vuil in de paal terecht komt. Een infiltratiepaal reinigen is een stuk moeilijker dan een straatkolk ruimen. Overloopleidingen naar een afwaarts oppervlaktewatersysteem zijn nodig voor een efficiënte ruiming. Zo kan de ruimer een ruimwagen vullen en over een beperkte afstand de gedecanteerde laag lossen om dan de volgende putten te ruimen. Het gedecanteerde water mag zeker niet naar een volgende paal lopen. Als er gescheiden watervoerende grondwaterlagen zijn, dan mag er geen infiltratiekolom worden gebruikt. Gescheiden grondwaterlagen mogen namelijk niet met mekaar in verbinding worden gebracht. Er kan wel een boring door een minder doorlatende laag voorzien worden richting een goed doorlatende laag. Uiteraard met voorwaarde dat er geen grote drooglegging wordt gecreëerd in de omgeving door grondwaterbellen te doorboren. De invloedzone van je paal moet dus klein zijn in de bovenste grondlagen. (https://blauwgroenvlaanderen.be/professionals/maatregelen/verticale-infiltratiepaal/). Lage frequentie onderhoud is mogelijk bij goede uitvoering. Er moet gelet worden op: 1) Vlotte inspecteerbaarheid met standaard rioolcamera's en toegangsmogelijkheden; 2) omvang en bereikbaarheid door reinigingsvrachtwagens (op openbare weg is deze toegankelijkheid ideaal). </t>
  </si>
  <si>
    <t>V</t>
  </si>
  <si>
    <t>Met deze maatregel wordt gedoeld op het opbreken van bestaande verharding. Het ontharden van openbare ruimtes of private terreinen zorgt ervoor dat water kan infiltreren in plaats van dat het afvloeit naar de riolering en waterlopen. Indien verharding noodzakelijk is kan er gekozen worden voor waterdoorlatende verharding. Meer info via: https://blauwgroenvlaanderen.be/bewoners/maatregelen/onthard-je-oprit-en-terras</t>
  </si>
  <si>
    <t>m3/m2</t>
  </si>
  <si>
    <t>€/m2</t>
  </si>
  <si>
    <t>ANB, dep. Omg. (Vlaanderen breekt uit) en Kostenverkenner ecologisch groenbeheer</t>
  </si>
  <si>
    <t xml:space="preserve">a) Gegevens van ANB uit verschillende projecten tonen dat kosten van opbreken verhardingen inclusief fundering en onderfundering rond de 11€/m2 kost zonder recuperatie, 1 project rekent ook kost van recuperatie uit en dan kost opbreken rond de 35€/m2. Daarnaast hangt kostprijs sterk af van welk groen wordt aangelegd: aanleg graszoden kost 10€/m2 (min scenario), biodivers gazon 12€/m2, bloemrijk grasland/vaste planten/vlinder- en bijenplanten 18€/m2 en struiken kosten tussen de 45en 85€/stuk (dit moet bij opbrekingskosten geteld worden). b) De Kostenverkenner ecologisch groenbeheer schat de kost van verharding omzetten naar soortenrijk gazon rond 16€/m2 en omzetting naar standaard gazon rond 17€/m2.  c) Departement omgeving heeft kostenschatting van 39 proeftuinen rond verharding. Maken onderscheid tussen proeftuinen met uitbraakwerken en proeftuinen met sloopwerken. De kosten per m2 zijn erg uiteenlopend, mogelijke verklaring is projectafhankelijkheid van kosten en verschillende kwaliteit van detailleringsgraad van kostenrapportering. Wanneer enkel naar kosten van ontharding zelf gekeken wordt ligt gemiddelde prijs (zonder uitschieters) overheen alle projecten op 63,68€/m2. we nemen de gegevens van de kostenverkenner als min, en de gemiddelde prijs van het departement omgeving + 15€/m2 voor aanleg groen als max. </t>
  </si>
  <si>
    <t>Directe kosten: Variabel OPEX</t>
  </si>
  <si>
    <t>Kostenverkenner ecologisch groenbeheer</t>
  </si>
  <si>
    <t>Gebaseerd op scenario's Kostenverkenner ecologisch groenbeheer: Beheerkosten van gazon liggen tussen 0,09 en 0,64€/m2 per jaar. Die van soortenrijk gazon liggen gemiddeld op 0,20€/m2 per jaar.</t>
  </si>
  <si>
    <t xml:space="preserve">Rekening houden met kenmerken terrein (waterdoorlatendheid, grondwaterstand…). </t>
  </si>
  <si>
    <t>Het weghalen van tegels en het vervangen door waterdoorlatende bestrating biedt meer ruimte aan een natuurlijk bodemleven en vergroot daarmee de biodiversiteit.</t>
  </si>
  <si>
    <t>Onthard je oprit en terras | Blauw Groen Vlaanderen</t>
  </si>
  <si>
    <t>Waarom ontharden ? - Departement Omgeving (vlaanderen.be)</t>
  </si>
  <si>
    <t xml:space="preserve">Groene omgeving zorgt voor positieve belevingswaarde. </t>
  </si>
  <si>
    <t>Bodemkwaliteit</t>
  </si>
  <si>
    <t>Afgedichte bodems verliezen vrijwel al hun functies. Door ontharding kan de bodem zijn functies (biodiversiteit, humusopbouw, koolstofopslag, …) herstellen.</t>
  </si>
  <si>
    <t>Waterdoorlatende verharding (in termen van totale investering + opbreken oude verharding)</t>
  </si>
  <si>
    <t>Wanneer volledige ontharding niet mogelijk is, kan de aanleg van waterdoorlatende verharding een oplossing bieden om alsnog water beter te laten infiltreren. Het algemene werkingsprincipe van een waterdoorlatend verhardingssysteem met betonstraatstenen is als volgt. Eerst infiltreert het hemelwater via de waterdoorlatende betonstraatstenen, de voegvulling en de straatlaag naar de fundering. De straatstenen laten het water door en voorkomen zo afstroming aan het oppervlak. Daarna wordt het hemelwater bij voorkeur in de onderfundering gebufferd; de fundering dient als extra bufferreserve. Er zijn veel soorten materialen: poreuze klinkers, klinkers met open voegen, open bestradingspatronen met gewone straatklinkers (open gedeelten kunnen gevuld worden met gras, grind of schelpen), grasbetonstenen, grind/steenlaag/schelpen, grindgazon (mengsel van steenslag en gras), houtspaanders en dennenschors. Meer info via: https://blauwgroenvlaanderen.be/professionals/maatregelen/waterdoorlatende-en-waterpasserende-verhardingsmaterialen en https://febe.be/frontend/files/userfiles/files/Andere%20Publicaties/publication-techniques/Waterdoorlatende%20bestratingen.pdf</t>
  </si>
  <si>
    <t>VLIF, ANB, KBS en aannemer</t>
  </si>
  <si>
    <r>
      <rPr>
        <sz val="11"/>
        <color rgb="FF000000"/>
        <rFont val="Calibri"/>
      </rPr>
      <t>Opnieuw zeer uiteenlopende prijs afhankelijk van materiaal (alsook kleur en formaat) dat gekozen wordt. a) VLIF steun bedraagt 34€/m2 wat 75% van de investeringskost zou moeten dekken. b) ANB projecten vermelden kostprijs van 28€/m2 voor poreuze betonstraatstenen en 60€/m2 voor aanleg halfverharding en stapstenen. c) KBS schat min kosten op 50 en max op 150€/m2. d) Aannemer schat kostprijs van gebakken kleiklinker tussen 40 en 70€/m2; algemeen worden kosten geschat tussen 20 en 150 €/m2. Er worden ook onderzoekskosten per project vermeld van tussen de €500 en €2500, maar deze worden hier niet meegenomen. Bij bovenstaande getallen worden ook nog kosten van opbreken bestaande verharding + fundering bijgerekend. Project ANB rekent hier kost van 10m2 voor aan (is zonder recuperatie van materialen)</t>
    </r>
    <r>
      <rPr>
        <sz val="11"/>
        <color rgb="FFFF0000"/>
        <rFont val="Calibri"/>
      </rPr>
      <t>.</t>
    </r>
    <r>
      <rPr>
        <sz val="11"/>
        <color rgb="FF000000"/>
        <rFont val="Calibri"/>
      </rPr>
      <t xml:space="preserve"> f) RIONED rekent kost excl toeslag (dus geen onderzoeks- en opvolgingskosten, maar wel inclusief kosten van opbreken) op €80/m2</t>
    </r>
  </si>
  <si>
    <t>Stichting RIONED</t>
  </si>
  <si>
    <t>onderhoudskosten bestaan uit periodiek vegen van het wegdek, het veeg-zuigen met een zoabcleaner en het aanvullen van lege voegen met nieuw split (moet telkens na diepreiniging). Hoeveel keer deze dingen gedaan worden hangt af van de lokale omstandigheden. Voor het minimum scenario gaan we ervan uit dat er 1 keer per jaar geveegd wordt tegen een kost van €0,55/m2 en dat er 1 keer om de 7 jaar een diepreiniging is met aanvulling van voegen wat in totaal (2,25+0,55)/7€/m2/jaar kost. Minimum onderhoudskosten bedragen dus 0,95€/m2/jaar. Voor max scenario gaan we uit van 7 veegbeurten tegen een kost van €0,55/m2/keer en wordt er 1 keer per jaar een diepreiniging en aanvulling van het split gedaan (kost van 2,25€/m2+0,55€/m2 per keer). De totale max onderhoudskost bedraagt dan 6,1€/m2/jaar</t>
  </si>
  <si>
    <t>Waterdoorlatende verhardingsmaterialen kunnen niet gebruikt worden bij intensief gebruikte wegen en parkeerplaatsen voor zwaar vervoer door het vervuilingsrisico en omdat deze materialen niet zo belastbaar zijn. Deze materialen kunnen gebruikt worden bij een minder doorlatende grond, maar hierbij dient de nodige drainage voorzien te worden. Voor tips rond dimensionering zie https://febe.be/frontend/files/userfiles/files/Andere%20Publicaties/publication-techniques/Waterdoorlatende%20bestratingen.pdf</t>
  </si>
  <si>
    <t>Overstromingsgevaar neemt mogelijks af door betere berging van water.</t>
  </si>
  <si>
    <t>Waterdoorlatende (half)verharding | Blauw Groen Vlaanderen</t>
  </si>
  <si>
    <t>Grondwaterkwaliteit</t>
  </si>
  <si>
    <t>-</t>
  </si>
  <si>
    <t xml:space="preserve">Waterdoorlatende verharding die geschikt is voor parkings/opritten en waar dus wagens overheen rijden kunnen mogelijks zorgen voor de vervuiling van het grondwater door bijvoorbeeld olieresten. Verontreinigingen gaan namelijk rechtstreeks naar de ondergrond. </t>
  </si>
  <si>
    <t>Infiltratie — Vlaamse Milieumaatschappij (vmm.be)</t>
  </si>
  <si>
    <t>Waterdoorlatende verharding (IN TERMEN VAN MEERKOST)</t>
  </si>
  <si>
    <t xml:space="preserve">m3/m2 </t>
  </si>
  <si>
    <t>GAAT HIER OVER MEERKOST TOV NIET-waterdoorlatende verharding! Opnieuw zeer uiteenlopende prijs afhankelijk van materiaal (alsook kleur en formaat) dat gekozen wordt. a) VLIF steun bedraagt 34€/m2 wat 75% van de investeringskost zou moeten dekken. b) ANB projecten vermelden kostprijs van 28€/m2 voor poreuze betonstraatstenen en 60€/m2 voor aanleg halfverharding en stapstenen. c) KBS schat min kosten op 50 en max op 150€/m2. d) Aannemer schat kostprijs van gebakken kleiklinker tussen 40 en 70€/m2; algemeen worden kosten geschat tussen 20 en 150 €/m2. Er worden ook onderzoekskosten per project vermeld van tussen de €500 en €2500, maar deze worden hier niet meegenomen. =&gt; Met oog op meerkost t.o.v. niet-infiltrerende verharding wordt deze prijs aangepast. Via aannemer weten we dat de range van meerkost tussen de 0 en 20% ligt t.o.v. niet-infiltrerende verharding (gem. 9%). Indien we bijvoorbeeld voor grind kiezen i.p.v. aanleg met betonklinkers dan is de meerkost voor een waterdoorlatendere verharding 0 want grind is goedkoper dan betonklinkers. Dit geeft de min kost en ligt dus op 0. De maximale meerkost wordt berekend op basis dat de duurste waterdoorlatende verharding (150€/m2) ongeveer 20% duurder is dan de duurste niet-infiltrerende verharding. Gemiddelde kost van waterdoorlatende verharding was gemiddelde kost van alle gegevens die werden doorgestuurd en kwam neer op ongeveer €62/m2, we rekenen hier met een meerkost van 9% t.o.v. niet-infiltrerende verharding en komen zo aan 5,14€/m2 meerkost gemiddeld.</t>
  </si>
  <si>
    <t xml:space="preserve">€/m2 </t>
  </si>
  <si>
    <t>NVT in termen van meerkost</t>
  </si>
  <si>
    <t>Dakgoot afkoppelen naar groen (90° goot, eventueel met afvoergoot)</t>
  </si>
  <si>
    <t>Het afkoppelen van de regenpijp kan gecombineerd worden met maatregelen zoals een regenton, een regenwatervijver, een greppel/wadi, open gootjes, aansluiting op een regenwaterriolering of gracht. Welke maatregel je het beste combineert met de afkoppeling van de regenpijp, hangt af van de infiltratiecapaciteit van de ondergrond. In zandgrond kan water bijvoorbeeld makkelijk infiltreren, maar in een kleiachtige bodem met een hoge grondwaterstand zijn voorzieningen nodig die het regenwater tijdelijk vasthouden en langzaam afvoeren. Denk bijvoorbeeld aan hoogteverschillen in de tuin, een regenwatervijver. Als er te weinig ruimte bovengronds is, kan de regenpijp gekoppeld worden aan ondergrondse voorzieningen als infiltratiekratten. Een andere mogelijkheid is om regenwater eerst op te slaan en dan te hergebruiken voor de wc-spoeling en/of om het groen te besproeien (meer info via https://blauwgroenvlaanderen.be/bewoners/maatregelen/regenpijp-afkoppelen)</t>
  </si>
  <si>
    <t>https://www.spanhakdakwerken.nl/levensduur-zinken-dakgoot</t>
  </si>
  <si>
    <t>€/wooneenheid</t>
  </si>
  <si>
    <t>Eigen assumpties + prijzen materiaal website gamma en Hubo</t>
  </si>
  <si>
    <t>Prijzen gebaseerd op kostprijs van afvoerbuis en bocht in gamma en Hubo. Reken voor de afkoppeling van de dakgoten 2 manuren aan een prijs van 50€/uur. Een huis heeft gemiddeld 4 afvoerbuizen (range 2 tot 6) . Gemiddelde kost van een afvoerbuis per lopende meter is €5,77 (1 afvoerbuis is gemiddeld 2,5 meter, dus gemiddelde prijs 1 afvoerbuis is 2,5*5,77=14,425, gemiddelde kost van een bocht is 2,44€/stuk.</t>
  </si>
  <si>
    <t>We rekenen geen bijkomend onderhoud voor deze aanpassingen.</t>
  </si>
  <si>
    <t xml:space="preserve">Gaan ervan uit dat gemiddelde dakoppervlak waarvan water in buizen terechtkomt 100m2 bedraagt. </t>
  </si>
  <si>
    <t>Door regenpijpen bij gebouwen af te koppelen van de riool, wordt het rioolstelsel ontlast.</t>
  </si>
  <si>
    <t>https://blauwgroenvlaanderen.be/bewoners/maatregelen/regenpijp-afkoppelen</t>
  </si>
  <si>
    <t xml:space="preserve">Overlooprisico van riolen neemt af omdat ze minder belast worden, water wordt ergens anders tijdelijk gebufferd. </t>
  </si>
  <si>
    <t>Hemelwaterputten</t>
  </si>
  <si>
    <t xml:space="preserve">Het principe van een hemelwaterput of regenwaterput is eenvoudig. Het regenwater van het dak wordt opgevangen in de hemelwaterput. Maar waar moet je daarna met je hemelwater naartoe? In de wetgeving staat een duidelijke volgorde voor de behandeling van hemelwater: Stap 1: hergebruik &gt;&gt; Stap 2: infiltratie op eigen terrein &gt;&gt; Stap 3: buffering op eigen terrein &gt;&gt; Stap 4: aansluiting op straat. Voor meer info over de wettelijke verplichting van hemelwaterputten zie https://www.vlaanderen.be/verplichte-installatie-van-een-regenwaterput-en-infiltratiesysteem-bij-nieuwbouw-en-herbouw , voor meer info over het werkingsprincipe van de hemelwaterput zie https://blauwgroenvlaanderen.be/bewoners/maatregelen/regenwater-gebruiken/ </t>
  </si>
  <si>
    <t>Waterbesparing</t>
  </si>
  <si>
    <t>m3/jaar</t>
  </si>
  <si>
    <t>VITO en GfK, 2016</t>
  </si>
  <si>
    <t xml:space="preserve">Verbruik voor huishoudens met hemelwater (binnentoepassingen). Als buitentoepassing erbij gerekend wordt, zit men aan 30,57m3/hh.jaar. </t>
  </si>
  <si>
    <t>m3/m² aangesloten dakopp</t>
  </si>
  <si>
    <t>Veronderstelling adaptatietools: 5m³/100m² verharding bij oude GSV, 7,5m3/100m2 bij nieuwe GSV</t>
  </si>
  <si>
    <t>Studie VITO</t>
  </si>
  <si>
    <t xml:space="preserve">Eigen ruwe schatting op basis van prijzen Farys. Minimum prijs is geschat volgens principe bestaande hemelwaterput beter benutten (a.d.h.v. pomp). Gemiddelde prijs is gebaseerd op kost volledig nieuwe installatie onder gunstige omstandigheden. Max prijs is dan prijs van volledig nieuwe installatie onder minder gunstige omstandigheden. Alle kosten (aanleg hemelwaterput (niet voor min scenario) en kost pomp / toebehoren) worden meegenomen behalve kosten dubbele leiding in woning wat nog eens op €300 per nieuwe woning zou komen. </t>
  </si>
  <si>
    <t>€/m2 aangesloten dakopp</t>
  </si>
  <si>
    <r>
      <t xml:space="preserve">Eigen ruwe schatting op basis van prijzen Farys. Prijzen berekend op basis van prijs per wooneenheid gedeeld door </t>
    </r>
    <r>
      <rPr>
        <b/>
        <sz val="11"/>
        <rFont val="Calibri"/>
        <family val="2"/>
        <scheme val="minor"/>
      </rPr>
      <t xml:space="preserve">gemiddelde dakopp (100m2). </t>
    </r>
  </si>
  <si>
    <t xml:space="preserve">Eigen ruwe schatting op basis van prijzen Farys. Er wordt vanuit gegaan dat het gebruik van de put op 25m3/jaar ligt en dat de energiekosten van de pomp op 0,07€/m3 liggen (prijzen werden daarna geïndexeerd tot 2021). Zo wordt de minimumprijs berekend. Voor de maximumprijs wordt een vaste onderhoudskost van €50 meegerekend, voor de gemiddelde prijs is dat een kost van €10,voor de minimumprijs wordt verondersteld dat er geen bijkomende onderhoudskost is. </t>
  </si>
  <si>
    <t>Eigen ruwe schatting op basis van prijzen Farys. Prijs per wooneenheid gedeeld door 100m2 dakopp</t>
  </si>
  <si>
    <t>4 - Kost per m3 water hergebruikt</t>
  </si>
  <si>
    <t>Jaarlijkse kost per m3 waterbesparing</t>
  </si>
  <si>
    <t>€/m3 hergebruik hemelwater</t>
  </si>
  <si>
    <t>Prijs per wooneenheid gedeeld door 25m3 hergebruik per jaar</t>
  </si>
  <si>
    <t>Prijs per wooneenheid gedeeld voor 5m3 buffervolume (+/- voor de helft gevuld)</t>
  </si>
  <si>
    <t xml:space="preserve">Zijn graafwerken in de tuin geen optie? Dan is de plaatsing van een regenwaterzaksysteem in bv. de kruipruimte of kelder een interessant alternatief. De regenwaterzak staat, net zoals de regenwaterput, in verbinding met de regenwaterafvoer van je woning en werkt met een filtersysteem en overloop. We raden aan om enkel regenwater afkomstig van daken naar de regenwaterput te laten lopen. Het water dat van andere verharde oppervlakken komt (bv. terras, oprit, …) is vaak vervuild met zwevende stoffen, zand of detergenten. Hoewel er geen sluitende studies over bestaan, raden we het gebruik van regenwater dat van een dak met asbesthoudend materiaal loopt af.
</t>
  </si>
  <si>
    <t>https://blauwgroenvlaanderen.be/bewoners/maatregelen/regenwater-gebruiken/</t>
  </si>
  <si>
    <t>Kostenbesparing</t>
  </si>
  <si>
    <t xml:space="preserve">Opgevangen water kan aangewend worden in hh. Dit zorgt voor een afname naar vraag leidingwater wat zich uit in vermeden kosten voor drinkwater, riolering en zuivering. Schatting hiervoor komt op 4,14€/m3*jaar. Daarnaast is bij gebruik van regenwater 50 tot 70% minder zeep nodig en hebben elektrische toestellen geen last van kalkaanslag, waardoor er bespaard wordt op onderhoud. </t>
  </si>
  <si>
    <t>VMM, drinkwatergebruik &amp; https://blauwgroenvlaanderen.be/bewoners/maatregelen/regenwater-gebruiken/</t>
  </si>
  <si>
    <t>INPUT effectiviteit</t>
  </si>
  <si>
    <t>GSV</t>
  </si>
  <si>
    <t>Vereist volume hemelwaterput (m3)</t>
  </si>
  <si>
    <t>Huidig</t>
  </si>
  <si>
    <t>Hemelwaterputten industrie</t>
  </si>
  <si>
    <t>Specifiek case per case! Mogelijkheid om hier te werken met min./max. vork</t>
  </si>
  <si>
    <t>Studie VITO (project hemelwaterputten haven van Antwerpen)</t>
  </si>
  <si>
    <t>Er wordt een afschrijvingstermijn van 10 jaar gehanteerd bij bedrijven</t>
  </si>
  <si>
    <t>€/investering</t>
  </si>
  <si>
    <t xml:space="preserve">In voorbeeldproject kost installatie van regenput(ten) met een totaal buffervolume van 400m3, €125000 Hierin wordt prijs van aanpassing leidingnetwerk niet meegenomen. </t>
  </si>
  <si>
    <t xml:space="preserve">Variabele kost per m³ zal ongeveer hetzelfde zijn als voor huishoudens. Prijzen zijn daar geschat op basis van eigen assumpties en prijzen van Farys: Het gebruik van de investering wordt geschat op 3700m3/jaar en de energiekosten van de pompen op 0,07€/m3 liggen (prijzen werden daarna geïndexeerd tot 2021). Zo wordt de minimumprijs berekend. Voor de maximumprijs wordt een vaste onderhoudskost van €50 meegerekend, voor de gemiddelde prijs is dat een kost van €10,voor de minimumprijs wordt verondersteld dat er geen bijkomende onderhoudskost is. </t>
  </si>
  <si>
    <t>Jaarlijkse kost per m3 water hergebruikt</t>
  </si>
  <si>
    <t>€/m3 hergebruik hemelwater . Jaar</t>
  </si>
  <si>
    <t>Totale buffervolume van de investering bedraagt 400 m3</t>
  </si>
  <si>
    <t>We raden aan om enkel regenwater afkomstig van daken naar de regenwaterput te laten lopen. Het water dat van andere verharde oppervlakken komt (bv. terras, oprit, …) is vaak vervuild met zwevende stoffen, zand of detergenten. Hoewel er geen sluitende studies over bestaan, raden we het gebruik van regenwater dat van een dak met asbesthoudend materiaal loopt af.</t>
  </si>
  <si>
    <t>Indirecte kostenbesparing</t>
  </si>
  <si>
    <t xml:space="preserve">Opgevangen water kan aangewend worden in bedrijf. Dit zorgt voor een afname naar vraag leidingwater wat zich uit in vermeden kosten voor drinkwater, riolering en zuivering. Schatting hiervoor komt op 4,14€/m3*jaar. Daarnaast hebben elektrische toestellen geen last van kalkaanslag, waardoor er bespaard wordt op onderhoud van machinerie of ontkalking. </t>
  </si>
  <si>
    <t>7 - Aannames</t>
  </si>
  <si>
    <t>Erosiebestrijdingsmaatregelen met waterberging</t>
  </si>
  <si>
    <t>Deze maatregel bevat diverse ingrepen die vaak toegepast worden in het kader van de erosieproblematiek en een bufferende werking hebben. Concreet voor droogte is de aanleg van een grasbufferstrook of een biodam relevant. Beide maatregelen worden hieronder berekend</t>
  </si>
  <si>
    <t>Een grasbufferstrook is een stuk grond, waarop gras is aangeplant, tussen een landbouwperceel en het ernaast gelegen oppervlaktewater met als doel het water te beschermen tegen meststoffen, gewasbeschermingsmiddelen en sedimentdeeltjes. De strook vertraagt en filtert het afvloeiende water van akkers waardoor het sediment bezinkt en water minder snel afvloeit naar de omliggende waterlopen. Zo heeft het water meer kans om te infiltreren. Meer info zie: https://inagro.be/bodemerosie-brongericht-erosie-bestrijden</t>
  </si>
  <si>
    <t>m3/m2 aangesloten oppervlakte</t>
  </si>
  <si>
    <t>Schatting Consortium</t>
  </si>
  <si>
    <t>Eigen assumpties</t>
  </si>
  <si>
    <t>Data via KBA sedimentmodel van VMM en Departement omgeving</t>
  </si>
  <si>
    <t>Jaarlijkse kost per m3 water gebufferd</t>
  </si>
  <si>
    <t>€/m3 gebufferd</t>
  </si>
  <si>
    <t>Erosiebestrijding</t>
  </si>
  <si>
    <t xml:space="preserve">Grasbufferstroken gaan sedimenttransport tegen. </t>
  </si>
  <si>
    <t>KBA Sedimentmodel VMM en Departement Omgeving</t>
  </si>
  <si>
    <t>Kostenpreventie</t>
  </si>
  <si>
    <t xml:space="preserve">Er gaan enkele kostenpreventies gepaard met een reductie in sedimenttransport. Zo worden kosten aan infrastructuur, aan interventie, aan schade aan woningen, aan landbouwschade, baggerkosten en kosten ter hoogte van RWZI's vermeden. </t>
  </si>
  <si>
    <t>Koolstofgehalte</t>
  </si>
  <si>
    <t>Departement Landbouw en Visserij</t>
  </si>
  <si>
    <t>Waterkwaliteit</t>
  </si>
  <si>
    <t>Sediment komt in mindere mate in waterlichamen terecht.</t>
  </si>
  <si>
    <t>In plaats van dat vruchtbare grond afvloeit naar waterlopen en omliggende terreinen blijft deze aanwezig op het akkerland. Dit zorgt voor een betere bodemkwaliteit (hogere koolstofopslag en circulatie van stikstof en fosfor)</t>
  </si>
  <si>
    <t xml:space="preserve">Een biodam is een ophoping van aarde waarop eventueel planten aangeplant kunnen worden. Deze dammen bevinden zich aan de zijkanten van percelen waar ze afstromend water van de percelen tijdelijk vasthouden. </t>
  </si>
  <si>
    <t>Waterbuffering</t>
  </si>
  <si>
    <t xml:space="preserve">Data via KBA sedimentmodel van VMM en Departement omgeving, NPI </t>
  </si>
  <si>
    <t xml:space="preserve">Kosten van een dam uit plantaardige materialen liggen tussen de 50 en 150 €/ha, kosten van een aarden dam wordt geschat op €40/ha. Kosten van grondinname worden net zoals bij andere maatregelen niet meegenomen, maar zijn hier vaak wel heel bepalend voor kostprijs. Grondinname kan enerzijds vrijwillig via een overeenkomst tegen een vergoeding (bv. beheersovereenkomst 5 jaar, erosiebesluit 20 jaar), en anderzijds via verwerving. </t>
  </si>
  <si>
    <t>Beheerkosten van een plantaardige dam worden geschat tussen de 6 en 155 €/ha; die van een aarden dam op €3/ha</t>
  </si>
  <si>
    <t xml:space="preserve">Biodammen gaan sedimenttransport tegen. </t>
  </si>
  <si>
    <t>Sediment komt in mindere maten in waterlichamen terecht.</t>
  </si>
  <si>
    <t>Minder bodemverdichting</t>
  </si>
  <si>
    <t xml:space="preserve">Het gebruik van zware machinerie op landbouwgrond zorgt voor een toename in bodemverdichting. Door de druk van de machines worden kanaaltjes en poriën die lucht en water transporteren in de bodem toegedrukt waardoor het water bufferend vermogen van de grond afneemt en de percelen gevoeliger worden voor droogte. Daarnaast krijgen gewassen het ook moeilijker om te groeien want normaal gebruiken ze voor de groei van hun wortels ook die verdichte kanaaltjes. Door bodemverdichting wordt het moeilijker om water en de nodige nutriënten op te nemen. Bodemverdichting kan deels tegengegaan worden door het gebruik van o.a. een bandendrukwisselsysteem zodat druk van banden makkelijk verlaagd kan worden wanneer op het veld gereden wordt, rubberen rupsbanden, schijveneg... Daarnaast is het vermijden van bodembewerking wanneer het erg nat is ook een belangrijke maatregelen om bodemverdichting tegen te gaan. Ook bodemremediëring (bv. via diepwortelende gewassen) zelf zal in Vlaanderen belangrijk zijn door de omvang van het probleem, hier werd echter geen kosteninformatie over gevonden. </t>
  </si>
  <si>
    <t>€/stuk</t>
  </si>
  <si>
    <t>Departement Landbouw&amp;Visserij</t>
  </si>
  <si>
    <t xml:space="preserve">Gebaseerd op gegevens van Departement landbouw&amp;visserij. Er werd een lijst met verschillende types machinerie verkregen die een minder bodem verdichtend effect hebben dan standaard machinerie. Voor minimum scenario werd kostprijs van bandendrukwisselsysteem in combinatie met lagedrukbanden genomen. Het percentiel 75 voor deze kosten (dus kost waarvoor 75% van de doorgestuurde gegevens lager ligt) bedraagt €11850/stuk voor het wisselsysteem en €15600/bandenset voor de lagedrukbanden. Er wordt gekozen om te werken met het P75 omdat deze hoogstwaarschijnlijk de normbedragen zullen bepalen voor de nieuwe VLIF. De maximumkosten zijn het P75 van rubberen rupsbanden. </t>
  </si>
  <si>
    <t>Eigen assumptie dat onderhoudskosten 1% van de investeringskosten bedragen</t>
  </si>
  <si>
    <t>Erosiebestendigheid</t>
  </si>
  <si>
    <t>Minder compactie = minder erosie</t>
  </si>
  <si>
    <t>Departement L&amp;V</t>
  </si>
  <si>
    <t>Door hogere erosiebestendigheid komt er minder sediment en vervuiling in waterlopen terecht.</t>
  </si>
  <si>
    <t>Bodembiodiversiteit</t>
  </si>
  <si>
    <t>Betere mix wanneer bodem niet volledig gecompacteerd is, dus ook betere bodemkwaliteit wat meer leven toelaat</t>
  </si>
  <si>
    <t>Een maatregel die genomen kan worden om natte natuur te verwezenlijken, bv. door het  uitdiepen van poelen. Maar ook effectief in landbouwgebied (erosiepoel).</t>
  </si>
  <si>
    <t>NPI VLIF, Kostenverkenner ecologisch groenbeheer en GlaWInO</t>
  </si>
  <si>
    <t xml:space="preserve">Min kosten via VLIF (NPI voor infiltratiepoel van min 50m2 bedraagt 20€/m2), GlaWInO schat kosten op 30€/m2. Kostenverkenner ecologisch groenbeheer vat kosten van omvorming gazon naar een soortenrijke poel samen (= een waterpartij met ondergedoken en drijvende waterplanten, maar weinig hoogopgroeiende water- en oeverplanten. De doorsnede van de waterpartij is meestal kleiner dan 25 meter en het diepste punt bedraagt niet meer dan 2m. De oevers zijn zacht hellend.), investeringskost hangt daar af van het aantal poelen en naar waar de grond moet afgevoerd worden. Wanneer we de kost voor 1 poel bekijken ligt die tussen €3/m2 (grond wordt binnen straal 1km hergebruikt) en €4,5/m2 (transport grond over 20-25km). </t>
  </si>
  <si>
    <t>Beheerkosten via Kostenverkenner ecologisch groenbeheertool. Beheerkosten van een soortenrijke poel:  Jaarlijks 60 à 80% van de oevervegetatie maaien in rotatie. Regelmatig schonen van de poel door het verwijderen van afvalstoffen en overtollige planten. Gem kost per m2 per jaar bedraagt 1,026€/m2</t>
  </si>
  <si>
    <t>0,6m diepte wordt verondersteld</t>
  </si>
  <si>
    <t xml:space="preserve">Afhankelijk van kenmerken bodem. </t>
  </si>
  <si>
    <t>Stuwtjes in grachten</t>
  </si>
  <si>
    <t>Een stuwtje in de perceel gracht geeft de eigenaar (gemeente/landbouwer/…) de mogelijkheid om het wegvloeiende water tegen te houden, waardoor het water kan infiltreren. Zo wordt de waterbuffer weer aangevuld. Voor de landbouw is het aangewezen het stuwpeil omhoog te laten tijdens de groeiperiode van de gewassen (begin april tot eind augustus, maar afhankelijk van gewas) en van november tot eind januari. Op dat moment zorgt de stuw ervoor dat de gracht een infiltrerend vermogen krijgt. Tijdens periodes van grondbewerking (februari en maart) en van oogst (september, oktober) is het aangewezen om het stuwpeil laag te houden. De gracht heeft dan een drainerend effect op de omgeving. Meer info via: http://www.boerennatuur.be/pdf/20210114_Boerennaturen_Stuwpeilbeheer.pdf</t>
  </si>
  <si>
    <t>m3/stuw</t>
  </si>
  <si>
    <t>http://www.boerennatuur.be/pdf/20210114_Boerennaturen_Stuwpeilbeheer.pdf</t>
  </si>
  <si>
    <t>Wanneer men om de 150m een stuw plaats in een gracht van 1,25m breed en 1,25m diep, dan verkrijgt men een buffervolume van 234m3. Per lopende meter gracht wordt dus 1m3 water gebufferd.</t>
  </si>
  <si>
    <t>Water opstuwing grondwater</t>
  </si>
  <si>
    <t>m3 vastgehouden/stuw</t>
  </si>
  <si>
    <t xml:space="preserve">Een opstuwend effect van grondwater wordt gezien tot +20m van de beek. Opstuwing tot 50 cm en meer zijn mogelijk. Gegevens provincie Antwerpen en boerennatuur.  1m grondwaterpeilverhoging is niet 1m³/m² opslag aan grondwater. Je kan het water enkel in de poriën opslaan, dus je moet vermenigvuldigen met de effectieve porositeit. Algemeen 0,2 is een goeie richtwaarde voor de bodemsoorten in Vlaanderen. 
Dus wordt dan: 3000*0,2m³/m² = 600m³/m². opgelet, dit is een benadering. Er zit onzekerheid op deze berekening wegens onder andere poriën en verversing. </t>
  </si>
  <si>
    <t>Eigen assumpties (machinerie)</t>
  </si>
  <si>
    <t>€/stuw</t>
  </si>
  <si>
    <t>Inagro, VLIF, Boerennatuur, Dienst integraal waterbeleid provincie Antwerpen</t>
  </si>
  <si>
    <t xml:space="preserve">Zeer uiteenlopende kostengegevens, afhankelijk van de technische complexiteit van de stuw.1) NPI van VLIF voor een regelbare stuw is 3000€/stuw, 2) boerennatuur schat prijs kleine stuw op 4500€/stuw (kost verkleint als er meerdere stuwen geplaatst worden: schaalvoordelen). voor een zeer basisstuw kan kost slechts €1500 zijn, 3) Dienst waterbeleid van Provincie Antwerpen installeerde 9 stuwen type overstortput voor een totale kost (levering, plaatsing, regiekosten (zoals voertuig als rupskraan) en andere zoals damwandplanken, rioolbuis (afhankelijk van situatie)) van €36000 exl BTW dus €4000/stuw (individuele kostprijs ligt waarschijnlijk hoger), 4) tijdens Triple-C project van Inagro werden knijpstuwen (vooral om tijdelijk water te bufferen bij grotere debieten) geplaatst die €1500/stuw kosten, maar heel wat bijkomende kosten (bodem- en taludversterking: €1500, kopmuur beton: €2000, herprofileren van de beek €3000 en €500 onvoorziene kosten). </t>
  </si>
  <si>
    <t>Jaarlijkse kost per m3 water vastgehouden en geïnfiltreerd</t>
  </si>
  <si>
    <t>€/m3 vastgehouden</t>
  </si>
  <si>
    <t xml:space="preserve">Een stuw moet altijd verstelbaar zijn en een stuw mag nooit de waterloop afdammen, er moet altijd water worden doorgelaten. De locatie van de stuw stroomop- of afwaarts is ook belangrijk . Hoe meer stroomopwaarts een stuw, hoe interessanter om water op te houden/vast te houden/te laten infiltreren. Indien er een groot verval zit op de beek waar de stuw geplaatst wordt, zal het bufferend vermogen van de stuw beperkt zijn.  Door negatieve impact van stuwen op de biodiversiteit (structuur van beek verandert naar stilstaand, met weinig zuurstof) wordt aangeraden om enkel stuwen te plaatsen op grachten, niet op waterlopen. </t>
  </si>
  <si>
    <t>Stuwen kunnen de instandhouding van vispopulaties verstoren wanneer ze redelijk stroomafwaarts geplaatst worden en er onvoldoende toevoer van water is via andere grachten (watertoevoer kan dan te laag zijn om een vispopulatie in stand te houden). De negatieve impact van stuwen wordt voornamelijk ook veroorzaakt doordat stuwen een vismigratieknelpunt creëren. Je houdt dan wel meer water vast, maar de vispopulatie kan er alsnog onder lijden. Ondertussen zijn er ook studies die aantonen dat biodiversiteit in zijn geheel achteruitgaat (dus niet enkel vissen) doordat je de structuur van een beek (stromend, turbulent, met veel zuurstof) verandert naar stilstaand, zonder zuurstof. Om die reden raden we stuwen uitsluitend aan op grachten, niet op waterlopen.</t>
  </si>
  <si>
    <t xml:space="preserve"> Interne communicatie Provincie Antwerpen (Dienst Integraal waterbeleid)</t>
  </si>
  <si>
    <t>In gebieden die niet overstromingsgevoelig zijn kan het creëren van drempels zoals stuwtjes het overstromingsrisico vergroten.</t>
  </si>
  <si>
    <t>Buffer- en infiltratiegrachten</t>
  </si>
  <si>
    <t>Een infiltratiegracht is een lijnvormige infiltratievoorziening die verdiept is aangelegd met steile randen (vaak met een helling van 45° of meer). Grachten hebben traditioneel tot doel om water te transporteren. Door grachten in de langsrichting te compartimenteren, kunnen ze water plaatselijk vasthouden en fungeren als infiltratievoorziening. Bij grote hydraulische belasting zal hun transportfunctie alsnog aangesproken worden. Compartimenteren kan door de gracht volledig vlak uit te voeren (of getrapt bij hellende terreinen) en door drempelconstructies tot op een bepaalde hoogte in te bouwen. Grachten kunnen natuurlijk aangelegd worden of met wandverstevigingen. Meer info zie: https://infiltratiewaaier.waterbewustbouwen.be/infiltratiesysteem/6</t>
  </si>
  <si>
    <t>m3/lopende meter</t>
  </si>
  <si>
    <t>Uitgaande van een gracht van 1 m diep en 1m breed, dan wordt er per lopende meter gracht dus 1m3 water gebufferd.</t>
  </si>
  <si>
    <t>m3 vastgehouden/lopende meter</t>
  </si>
  <si>
    <t>(gelijkaardige redenering als stuwtjes) Een opstuwend effect van grondwater wordt gezien tot +20m van de beek. Opstuwing tot 20cm is mogelijk. Gegevens provincie Antwerpen en boerennatuur</t>
  </si>
  <si>
    <t>€/lopende meter</t>
  </si>
  <si>
    <t>GlaWInO, boerennatuur</t>
  </si>
  <si>
    <t xml:space="preserve">a) Partners GlaWInO leverde kosten aan puur voor grondverzet (uitgraven en verwerken van de grond), er wordt uitgegaan van een relatief platte gracht waardoor extra stuwen niet nodig zijn. Kosten worden dan geraamd tussen 5 en 20€/lopende meter; b) Wanneer duidelijk verval dan zijn tussenschotten (knijpconstructies, vergelijkbaar met stuwen) aangewezen. Ter vereenvoudiging nemen we min. kosten van een stuw die op €1500 per stuw neerkwamen. Data van boerennatuur gebruikt vuistregel dat om de  150m (echter losse schatting) een stuw nodig is. Er komt dus nog een kost van 1500/150=10€ per lopende meter bij de kosten van Inagro. </t>
  </si>
  <si>
    <t>Grachten vragen extra ruimte en moeten onderhouden worden om dichtgroeien en verlanding te voorkomen. Type bodem en infiltreerbaarheid van de bodem spelen een rol in de effectiviteit van de maatregelen. Omdat er niet altijd water in de grachten staat kunnen ze best beplant worden met planten die zowel tegen droge als natte omstandigheden kunnen. Indien mogelijk is het aangewezen om naastgelegen wegenis via de berm en talud naar de grachten af te leiden. Op deze manier zal de berm aanwezig sediment afvangen en komt dit niet in de gracht terecht. Bovendien zullen zachte regenbuien in de berm infiltreren in plaats van afgevoerd te worden naar de gracht. Om de bufferende werking van een buffer- of infiltratiegracht te maximaliseren, is het belangrijk dat de grachten zoveel mogelijk horizontaal worden aangelegd en worden opgedeeld in compartimenten. In hellende gebieden moeten de grachten dus in trapvorm worden aangelegd. Elk compartiment kan worden behandeld als een infiltratievoorziening (in functie van de doorlatendheid van de bodem) of een buffervoorziening, die vertraagd geledigd moeten worden. Meer info via https://blauwgroenvlaanderen.be/professionals/maatregelen/buffer-en-infiltratiegrachten/</t>
  </si>
  <si>
    <t>Groenblauwedooradering helpt hittestress te voorkomen.</t>
  </si>
  <si>
    <t>Omvorming conventionele drainage naar peilgestuurde drainage</t>
  </si>
  <si>
    <t xml:space="preserve">Deze maatregel is enkel aan te raden op percelen waar reeds gedraineerd wordt, maar op conventionele wijze. Op percelen die klassiek gedraineerd worden, vloeit water weg ook op ongewenste momenten zoals wanneer het droge seizoen eraan komt en je het water liever ter beschikking houdt (echter afhankelijk van de grondwaterstand zal drainage in werking treden of niet en zal het water wegvloeien of niet). Peilgestuurde drainage past daar een mouw aan, omdat je het waterpeil op je perceel zelf kunt regelen. Bij peilgestuurde drainage loopt het water wel weg via afvoerbuizen, maar niet rechtstreeks naar een naburige sloot. De afvoerbuizen zijn namelijk aangesloten op een verzamelbuis aan de rand van het perceel, die op haar beurt het water naar een verzamelput voert. In de put regel jij dan het peil met behulp van een regelbuis – meestal een gewone pvc-buis met een doorlaatopening op de gewenste peilhoogte (zo’n 30-40 cm onder het maaiveld). Meer info via: https://www.boerennatuur.be/pdf/Factsheets/20211022_PGD.pdf
</t>
  </si>
  <si>
    <t>m3 vastgehouden/m2</t>
  </si>
  <si>
    <t>https://edepot.wur.nl/19013</t>
  </si>
  <si>
    <t>Studie van universiteit van Wageningen toont aan dat de jaargemiddelde grondwaterstand door omvorming naar peilgestuurde drainage 24 cm verhoogd wordt t.o.v. de gemiddelde grondwaterstand bij conventionele drainage. Peilgestuurd zorgt dus voor een verhoging van de gemiddelde grondwaterstand van 24cm t.o.v. conventionele drainage. Dit zorgt ervoor dat er 1m*1m*0,24m meer water per m2 vastgehouden wordt -&gt; 0,24m3/m2. 1m grondwaterpeilverhoging is niet 1m³/m² opslag aan grondwater. Je kan het water enkel in de poriën opslaan, dus je moet vermenigvuldigen met de effectieve porositeit. Algemeen 0,2 is een goeie richtwaarde voor de bodemsoorten in Vlaanderen. 
Dus wordt dan: 0,24*0,2m³/m² = 0,048m³/m²</t>
  </si>
  <si>
    <t>http://www.agrobeheercentrum.be/Portals/41/Publicaties/20190630_Eindrapport%20-%20Drainage%20Plus-min.pdf</t>
  </si>
  <si>
    <t>Studie toont aan dat het grasbestand tijdens droogteperiodes gemiddeld 45 mm water per seizoen meer kon opnemen onder een peilgestuurde drainage ten opzichte van een klassieke drainage. Dit komt neer op 0,045m3/m2 water dat bespaard kan worden doordat hier minder extra water nodig is voor beregening van gewassen.</t>
  </si>
  <si>
    <t>Info boerennatuur via Inagro, VLIF</t>
  </si>
  <si>
    <t xml:space="preserve">Kost van omvorming hangt sterk af van omstandigheden van het perceel, de aanwezigheid van een moerbuis en de staat van de huidige drainage. Boerennatuur rekent met kosten tussen 1000 en 2500 €/ha. De NPI van VLIF rond omvorming drainage ligt op €2666,66/ha. Indien geen gewone drainage aanwezig was kunnen kosten een stuk hoger oplopen. Deze kosten zijn echter niet relevant voor droogteproblematiek want drainage zal altijd verdrogend werken. </t>
  </si>
  <si>
    <t>Jaarlijkse kost per m3 water bespaard</t>
  </si>
  <si>
    <t>€/m3 bespaard</t>
  </si>
  <si>
    <t>Randvoorwaarden voor peilgestuurde drainage zijn voldoende grondwaterdruk (of externe aanvoer van water) en een goed doorlatende bodem. De belangrijkste factor voor de omvorming van percelen die al 
gedraineerd worden, is de hellingsgraad van het terrein. Daarbij geldt  de leuze ‘Hoe vlakker hoe beter.’ Op sterk hellende terreinen kan je  wel tot een aanvaardbare hellingsgraad komen door te werken met meerdere regelputten per perceel. Bekijk dat steeds in samenspraak  met een ervaren draineur. Je zult de beste resultaten boeken wanneer je de periode waarin je  de regelbuis uit de regelput verwijdert om meer te draineren zo kort mogelijk houdt. Het is ook belangrijk om de draineerperiode af te spreken met eigenaars van omliggende percelen. De waterhuishouding van jouw perceel beïnvloedt namelijk ook de omliggende percelen. Wanneer jij water ophoudt op jouw akker, help je ook de bodem in de omgeving vochtiger te houden. Wanneer jij water afvoert, zal je het omliggende landschap mee droog trekken. Bron: https://www.boerennatuur.be/pdf/Factsheets/20211022_PGD.pdf &amp; https://www.boerennatuur.be/pdf/20210211_Webinar_PGD&amp;SI.pdf</t>
  </si>
  <si>
    <t>Meeropbrengst</t>
  </si>
  <si>
    <t>De meeropbrengst die je per hectare per jaar kunt halen op zulke peilgestuurde percelen varieert naargelang van de teelt: zo’n 100 euro voor maïs, zo’n 150 euro  voor gras en zo’n 400 euro voor waterintensieve teelten zoals aard_x0002_appelen en uien</t>
  </si>
  <si>
    <t>20211022_PGD.pdf (boerennatuur.be)</t>
  </si>
  <si>
    <t>Nutriëntenafvoer</t>
  </si>
  <si>
    <t xml:space="preserve">Omvorming van gewone naar peilgestuurde drainage zorgt voor een lageren nutriënten afvloei naar oppervlaktewater. </t>
  </si>
  <si>
    <t>http://pvl-bocholt.be/wp-content/uploads/2017/12/Brochure-Peilgestuurde-drainage.pdf</t>
  </si>
  <si>
    <t>Vernattend effect op omgeving</t>
  </si>
  <si>
    <t>Door wegnemen van constante drainage, wordt vernatting van de omgeving toegelaten. Dit kan gunstig zijn voor de natuur.</t>
  </si>
  <si>
    <t>Koolstofgehalte in de bodem verhogen</t>
  </si>
  <si>
    <t xml:space="preserve">Percelen met hoge organische stofgehaltes hebben een betere bodemstructuur, een functioneler bodemleven en een verhoogde infiltratiesnelheid. Ook houden ze beter voedingsstoffen en water vast. Investeren in de bodem levert de landbouwer dus een weerbaardere bodem op die een stabielere gewasopbrengst levert en minder afhankelijk is van chemische middelen en beregening. Houtsnippers in de bodem werken is een mogelijke manier om het organische stofgehalte in de bodem te verhogen. Dit omdat hout een hoog percentage (30%) koolstof bevat. Andere duurzame maatregelen die bijdragen aan koolstofopbouw zijn de aanvoer van organische stof via meststoffen/compost, het inwerken van stro en/of het telen van meer gewassen met een aanzienlijke hoeveelheid gewasresten zoals graan, gras en groenbedekkers in combinatie met teeltrotatie. (zie https://www.bdb.be/files/vul201912.pdf , Inagro). </t>
  </si>
  <si>
    <t>Infiltratiesnelheid</t>
  </si>
  <si>
    <t>mm/u</t>
  </si>
  <si>
    <t>http://www.boerennatuur.be/pdf/2018_Koester-de-koolstof_Eindrapport.pdf</t>
  </si>
  <si>
    <t>Infiltratiesnelheid nam in testgebieden waar 150m3 houtsnippers/ha werden toegediend met gemiddeld 370mm/u toe t.o.v. situatie waar geen houtsnippers werden toegediend (wel pas opgemerkt in tweede jaar na toediening)</t>
  </si>
  <si>
    <t>m3/ha</t>
  </si>
  <si>
    <t>Inagro en departement Omgeving</t>
  </si>
  <si>
    <t>1% Organische stof houdt vermoedelijk 170m3/ha water vast. 1%OS=0,5% organische koolstof, dus 0,5% organische koolstof houdt 170m3/ha water vast (gemiddelde landbouwgrond bevat 50 ton koolstof/ha als we de bovenste halve meter beschouwen. De gemiddelde dichtheid van een bodem in Vlaanderen varieert tussen 1250 en 1500kg/m3 (BAM Compedium), dus dichtheid van 1 hectare grond, halve meter diep is 5000m3*1450kg/m3=7250000kg=7250ton =&gt; gemiddelde bodem bevat 50/7250=0,69%org koolstof per hectare. willen we waterbergend vermogen verhogen met 170m3 dan moeten we dus 0,005*7250=36,25ton organische koolstof per hectare toevoegen ). Daarnaast weten we dat toevoeging van 100m3 houtsnippers per ha zorgt voor een vorming van 7,5 ton humus / ha in de 1e 2 jaar na toediening. Dit komt overeen met een stijging van organische koolstofgehalte van 0,2% (dus 0,002*7250=14,5ton organische koolstof). Meeste onderzoeken voegen om de vijf jaar 150m3 houtsnippers/ha toe, dus zorgt in eerste twee jaar al zeker voor toename in organische koolstof van 21,75 ton (0,3%) koolstof per ha, dat zorgt voor een toename in waterbergend vermogen van (21,75/50)*170=73,95m3/ha overheen 2 jaar, en 36,96 m3/ha per jaar (assumptie dat dit evenredig verloopt) (info via Inagro, https://ilvo.vlaanderen.be/nl/nieuws/organische-koolstofgehalte-in-bodems-van-openbaar-domein-en-particuliere-tuinen en http://www.boerennatuur.be/pdf/2018_Koester-de-koolstof_Eindrapport.pdf en dep omg)</t>
  </si>
  <si>
    <t>Elke 5 jaar wordt 150m3/ha toegediend volgens de standaardpraktijken</t>
  </si>
  <si>
    <t>€/ha</t>
  </si>
  <si>
    <t>Inagro</t>
  </si>
  <si>
    <t xml:space="preserve">Is enkel de kostprijs van het materiaal dat je wilt inwerken (hier kost loofhout dat je aankoopt 25€/m3  en we gaan uit van een toediening van 150m3/ha, dit echter wel pas om de 5 jaar (standaard werking, zie http://www.boerennatuur.be/pdf/2018_Koester-de-koolstof_Eindrapport.pdf)). Kost van inwerken zelf is niet meegerekend, maar is zeer laag t.o.v. kost materiaal. </t>
  </si>
  <si>
    <t>Niet van toepassing</t>
  </si>
  <si>
    <t>€/m3 water gebufferd</t>
  </si>
  <si>
    <t>Het najaar is het ideale tijdstip van toediening van houtsnippers in ons gematigd klimaat. De houtsnippers moeten oppervlakkig ingewerkt worden (in de bovenste laag van 5 cm) omdat hier zich de meeste organismen bevinden die de snippers zullen afbreken en omzetten naar humus. De afbraaksnelheid hangt dan ook sterk af van de aanwezigheid van micro-organismen in de bodem wat op zijn beurt afhangt van verschillende factoren zoals temperatuur, pH, zuurstofvoorziening, vochtgehalte en de aard van het af te breken materiaal. Er wordt ook aanbevolen niet te ploegen gezien dit de levenscyclus van de organismen afbreekt en ze ook dieper begraaft waardoor ze minder goed kunnen werken (http://www.boerennatuur.be/pdf/2018_Koester-de-koolstof_Eindrapport.pdf). Indien de houtsnippers uit een reststroom van houtkantenbeheer komen kan er een circulair systeem opgezet worden. Momenteel laat de wetgeving het enkel toe om houtsnippers te onderwerken in de bodem met een grondstoffenverklaring van OVAM. Dit is niet praktisch.  (https://www.bdb.be/files/vul201912.pdf)</t>
  </si>
  <si>
    <t>Carbon sink</t>
  </si>
  <si>
    <t>Hoger koolstofgehalte in de bodem zorgt voor hogere koolstofopslag door de afbraak van organisch materiaal</t>
  </si>
  <si>
    <t>vul201912.pdf (bdb.be)</t>
  </si>
  <si>
    <t>Gewasopbrengst</t>
  </si>
  <si>
    <t>Voedingsstoffen en water worden beter vastgehouden in bodems met hogere organische stofgehaltes. Bodem is weerbaarder waardoor gewasopbrengst stabieler wordt.</t>
  </si>
  <si>
    <t>Toename van organisch stofgehalte zorgt voor een daling in erosiegevoeligheid</t>
  </si>
  <si>
    <t>2018_Koester-de-koolstof_Eindrapport.pdf (boerennatuur.be)</t>
  </si>
  <si>
    <t xml:space="preserve">hoger koolstofgehalte laat betere kwaliteit van bodemleven toe. </t>
  </si>
  <si>
    <t>Chemicaliëngebruik</t>
  </si>
  <si>
    <t>Minder chemische middelen nodig bij bodems met hogere organische stofgehaltes</t>
  </si>
  <si>
    <t>Aanleg van kleine spaarbekkens</t>
  </si>
  <si>
    <t xml:space="preserve">Een spaarbekken is een plaats waar water tijdelijk kan in opgeslaan worden zodat het later kan aangewend worden (bijvoorbeeld opslaan tijdens hevige regenval en aanwenden tijdens periodes van droogte). </t>
  </si>
  <si>
    <t>Agro</t>
  </si>
  <si>
    <t xml:space="preserve">Kostprijs van een klein spaarbekken (totaal, dus inclusief graafwerken en nivellering). Dit is het gemiddelde van enkele voorbeeldprojecten waarvan de provincie richtprijzen heeft opgesteld aan de hand van gekende aanbestedingen. De projecten: bekken 7500m3 voor €100.000; bekken 3500m3 voor €70000; bekken 6000m3 voor €100.000; bekken 3500m3 voor €90.000. Per project worden hier nog kosten van ontwerp, studie en omgevingsvergunningen ter waarde van 8000-10000€/project bijgeteld. </t>
  </si>
  <si>
    <t>Assumptie is dat onderhoudskosten 1% van investeringskosten bedragen</t>
  </si>
  <si>
    <t>Onderhoudskosten omvatten o.a. volgende onderdelen: ruimen om de x-jaar, beheer oevers, water oppompen om te irrigeren (energieverbruik, tijdsduur …)</t>
  </si>
  <si>
    <t>€/m3 water bespaard</t>
  </si>
  <si>
    <t xml:space="preserve">Hier gaan we ervan uit dat het water dat in de natte maanden gebufferd wordt éénmaal volledig kan aangewend worden en zo wordt verbruik van andere waterbronnen vermeden. </t>
  </si>
  <si>
    <t>Recreatie</t>
  </si>
  <si>
    <t>Mits juiste inrichting kunnen bekkens recreatieve meerwaarde hebben.</t>
  </si>
  <si>
    <t>VLM</t>
  </si>
  <si>
    <t>Waterefficiënt beregenen</t>
  </si>
  <si>
    <t xml:space="preserve">Het beredeneerd beregenen van gewassen beperkt de verliezen van water en zorgt voor een betere gewas- of vruchtkwaliteit. Bij druppelirrigatie wordt het water onmiddellijk aan de voet van de plant gebracht. Dit gebeurt door een netwerk van slangen met openingen (druppelaars) op regelmatige afstand waardoor het water gelijkmatig over het veld verdeeld wordt. Het aantal druppelaars per meter slang en het debiet bepalen de irrigatiehoeveelheid (https://lv.vlaanderen.be/nl/voorlichting-info/publicaties/praktijkgidsen/water/duurzaam-watergebruik-de-openluchtgroenteteelt-14 ) . </t>
  </si>
  <si>
    <t>https://www.proefstation.be/wp-content/uploads/2020/03/Praktische-brochure-Druppelirrigatie.pdf</t>
  </si>
  <si>
    <t xml:space="preserve">Onderzoek toont een waterbesparingspercentage van 25% t.o.v. gewone haspelberegening (https://www.proefstation.be/wp-content/uploads/2020/03/Praktische-brochure-Druppelirrigatie.pdf). De gemiddelde irrigatiebehoefte is in dit onderzoek afhankelijk van het klimaatscenario waarmee gerekend wordt. Indien gekeken wordt naar de huidige irrigatiebehoefte (2017-2019) ligt die op 150mm voor prei op zandbodem  (hoge behoefte, representatief voor Kempen) en op 83mm bij een leembodem (minder hoge irrigatiebehoefte, representatief voor groot deel van Vlaanderen behalve Kempen), gemiddelde ligt dus op 116,5mm  (0,1165m3/m2), waterbesparing door gebruik druppelirrigatie komt dus neer op 0,029m3/m2. Indien men uitgaat van de gemiddelde irrigatiebehoefte in het hoog klimaatscenario (referentieperiode 2073-2087 waarbij er toenemende neerslag is in de winter en drogere zomers) komt gemiddelde behoefte op 190mm en loopt de waterbesparing op tot 47,5mm (ofwel 0,0475m3/m2). </t>
  </si>
  <si>
    <t>https://www.bdb.be/files/vul202106-Duurzaam-watergebruik.pdf</t>
  </si>
  <si>
    <t>Bdb spreekt over 20 jaar, beregeningstool schrijft af over 15 jaar</t>
  </si>
  <si>
    <t>Inagro en VLIF</t>
  </si>
  <si>
    <t>VLIF Productieve investeringssteun voor installatie druppelirrigatie bedraagt 2,3€/m2. Oefening op basis van gegevens van INAGRO gaat als volgt: Oefening met deze gegevens: stel veld van 1ha (100*100) -&gt; 100/1,5 rijen T-tape = 67 rijen T-tape (want nood aan sa-lang om de anderhalve meter). We weten al dat T-tape zelf ons 300 à 400 euro zal kosten (want kost T-tape komt neer op 6 cent per lopende meter en we hebben 67*100 meter T-tape nodig per hectare). We hebben ook toevoerslang nodig, die kost €3 per lopende meter, en we hebben in totaal 6700 meter irrigatie dus totale kost van toevoerslangen is €20100. Per rij (67 in totaal) hebben we nog koppelstuk van €2 nodig -&gt; totale kost Koppelstukken = 67*2=134. en dan nog vaste kost van filter (€840) en kost van drukregelaar (€300) dus €1140 vaste kost. In totaal komen we voor 1 ha veld aan een kost van 300 à 400 +20100+134+840+1140=21674 à 21774 per ha. -&gt; 2,16 à 2,17 €/m2 -&gt; in lijn met VLIF</t>
  </si>
  <si>
    <t>Eigen assumptie dat onderhoudskosten 1% van investeringskosten bedragen + elk jaar moet T-tape vervangen worden (andere onderdelen zijn herbruikbaar) dus elk jaar nog een 300 à 400 €/ha erbij (0,03 à 0,04€/m2)</t>
  </si>
  <si>
    <t>Besparing enkel wanneer irrigatiesysteem niet constant aanstaat, is nog niet zo voor alle teelten.</t>
  </si>
  <si>
    <t>Het efficiënt beregenen van gewassen vraagt veel kennis. Telers zijn dikwijls onzeker over het tijdstip en de hoeveelheid water die ze moeten geven en welke techniek het meest rendabel is voor hun teelt https://lv.vlaanderen.be/nl/subsidies/scholen-groeperingen-vzws-organisaties/demonstratieprojecten/2017/waterkwaliteit-en-1. Een tip voor een betere druppelirrigatie zijn het investeren in een geode filterinstallatie voor je water zodat je slangen niet verstoppen (https://www.bdb.be/files/vul202106-Duurzaam-watergebruik.pdf). De keuze aan druppelslangen is groot. Voor welk type slang je best kiest is afhankelijk van  de plantdichtheid en het debiet dat je ter beschikking hebt (https://www.bdb.be/files/vul201901.pdf) .Meer info via https://www.proefstation.be/wp-content/uploads/2020/03/Praktische-brochure-Druppelirrigatie.pdf</t>
  </si>
  <si>
    <t>Landbouwopbrengst</t>
  </si>
  <si>
    <t>Meerdere studies van oa bdb tonen aan dat de landbouwopbrengst toeneemt door gebruik van druppelirrigatie dit doordat toediening van meststoffen en water dichtbij de plant gebeurt, en omdat er minder kans is op ziektes</t>
  </si>
  <si>
    <r>
      <t xml:space="preserve">https://www.bdb.be/files/vul201901.pdf https://www.bdb.be/files/vul202106-Duurzaam-watergebruik.pdf </t>
    </r>
    <r>
      <rPr>
        <sz val="11"/>
        <rFont val="Calibri"/>
        <family val="2"/>
        <scheme val="minor"/>
      </rPr>
      <t>&amp; https://www.proefstation.be/wp-content/uploads/2020/03/Praktische-brochure-Druppelirrigatie.pdf</t>
    </r>
  </si>
  <si>
    <t>Indien aangepaste vegetatie kan een spaarbekken ook de biodiversiteit bevorderen. Het dient als een ecologische verbindingszone.</t>
  </si>
  <si>
    <t>Departement landbouw en visserij</t>
  </si>
  <si>
    <t>Kostenreductie</t>
  </si>
  <si>
    <t xml:space="preserve">Kosten kunnen op meerdere manieren bespaard worden. Enerzijds is er bij druppelirrigatie een lagere werkingsdruk nodig in vergelijking met klassieke haspelberegening waardoor er energie kan bespaard worden. Anderzijds is er een aanzienlijke tijdsbesparing voor de teler eens het systeem is aangelegd. </t>
  </si>
  <si>
    <t>Praktische-brochure-Druppelirrigatie.pdf (proefstation.be)</t>
  </si>
  <si>
    <t>Opsporen/aanpak illegale grondwaterwinning</t>
  </si>
  <si>
    <t>Uitwerking en toepassing van een handhavingsbeleid gericht op het herstellen en beschermen van grondwatervoorraden. Hierbij wordt onder meer ingezet op de aanpak van illegale grondwaterwinningen en van lozingen van bemalingswater op rioleringen (BD24). het toezicht op en de handhaving de opsporing van illegale grondwaterwinningen en gaat  aandacht naar zowel ‘compliance promotion’ als vaststelling van milieu-inbreuken en -misdrijven. Binnen deze actie is er zowel ruimte voor het ondersteunen van het lokale toezicht als het samenwerken op internationaal vlak (IMPEL-netwerk) ten einde tot gedegen handhaafbare regelgeving te komen die de aanpak van illegale winningen ondersteunt, alsook de creatie van werkbare terreininstrumenten t.b.v. het toezicht (checklists, digitale toepassingen,...). Voor de aanpak van de illegale grondwaterwinningen zal i.s.m. de sector het gebruik van moderne technologieën worden onderzocht en desgevallend uitgerold. Real-time GPS tracking van de actieve boorbedrijven kan in die zin een oplossing bieden voor zowel het homogeniseren van de sector, een administratieve vereenvoudiging (minder manuele rapporteringslast) alsook een optimalisatie van de handhaving door een minder arbeidsintensieve sturing van de handhaving mogelijk te maken. Het reeds bestaande DOV-portaal kan hier mits aanpassing mee voor worden aangewend.</t>
  </si>
  <si>
    <t>m3 grondwater bespaard per jaar</t>
  </si>
  <si>
    <t>Eigen assumpties + info afdeling handhaving departement omgeving</t>
  </si>
  <si>
    <t xml:space="preserve">Er zijn 135 erkende boorbedrijven in Vlaanderen. stel dat door maatregelen 1 boorput minder per dag per boorbedrijf geboord wordt bij huishoudens (we gaan ervan uit dat vooral hier de illegale gw-winning plaatsvindt, minder bij bedrijven). We gaan ervan uit dat zo'n putten een capaciteit van 50m3 per jaar hebben en het boorbedrijf werkt 200 dagen per jaar =&gt; per boorbedrijf 200 putten per jaar minder door controles =&gt; 200*135=27000 putten minder per jaar in totaal =&gt;  1.350.000 m3 minder grondwaterwinning per jaar door controles </t>
  </si>
  <si>
    <t>Arbeidskost per VTE</t>
  </si>
  <si>
    <t>Aantal benodigde VTE</t>
  </si>
  <si>
    <t>Totaal</t>
  </si>
  <si>
    <t>NVT</t>
  </si>
  <si>
    <t>Direct kosten</t>
  </si>
  <si>
    <t>Arbeidskost (€)</t>
  </si>
  <si>
    <t>Departement omgeving + https://fedweb.belgium.be/nl/verloning_en_voordelen/wedde/weddeschalen + https://fedweb.belgium.be/nl/verloning_en_voordelen/bedragen-indexeren</t>
  </si>
  <si>
    <t>Voor wat betreft de ruwe tijdsinschattingen voor de controle op 135 erkende boorbedrijven met een frequentie van 2x per jaar: 3,5 VTE</t>
  </si>
  <si>
    <t>Standaard wateraudit voor quick-wins</t>
  </si>
  <si>
    <t>Een wateraudit is een instrument waarmee u de huidige waterstromen en de nodige waterbehoefte op uw bedrijf in kaart brengt. Er wordt gekeken naar mogelijke waterbesparingsmaatregelen en ook in hoeverre de grondwaterwinning of de drinkwaterfactuur, zowel technisch als economisch, kan worden afgebouwd en vervangen door andere waterbronnen.
Kort samengevat is een wateraudit dus een kritische kijk op alle toepassingen van water op uw bedrijf.
In een eerste fase zijn vaak besparingen aan te duiden die niet echt nieuwe investeringen vereisen (overmatig kuiswater, lekkende drinkbakken, slecht afgestelde regelingen ...). Een verdere analyse maakt duidelijk welke maatregelen nodig zijn voor de recuperatie van water of om een lagere waterkwaliteit te gebruiken voor een bepaalde toepassing. Voor deze fiche gaan we uit van de kosten en effectiviteit van een standaard wateraudit die zich beperkt tot de eerste fase. Dat betekent dus dat er enkel quick-wins worden geïdentificeerd waarvoor geen grote kosten moeten gemaakt worden om de problemen te verhelpen. Wanneer we verder zouden gaan dan enkel quick-wins kan een waterbesparing van 20 à 30% optreden, maar dat vereist grote investeringen zoals het plaatsen van bijkomende waterzuiveringsstappen die in andere fiches worden besproken. 
Tijdens een wateraudit worden onder meer volgende vragen onderzocht:
Kunnen andere waterstromen zoals regenwater of recuperatiewater gebruikt worden voor bepaalde toepassingen en welke investeringen staan daar tegenover?
Is het zinvol en betaalbaar om regenwater te gebruiken in de voorziene nieuwbouw en voor welke toepassing?
Wat met regenwater in een bestaand gebouw?
Waar, hoe en hoeveel opslagcapaciteit voorzien?
Welke zuiveringstrappen vereist mijn (afval)water vooraleer het zonder gevaar opnieuw mag worden gebruikt?
Hoe hoog ligt een dergelijke investering en wat zijn de werkingskosten?
…
De financiële haalbaarheid is hierbij een belangrijk criterium. (via https://lv.vlaanderen.be/nl/voorlichting-info/publicaties/praktijkgidsen/water/duurzaam-watergebruik-algemeen/wateraudit#:~:text=Wat%20is%20een%20wateraudit%3F%20Een%20wateraudit%20is%20een,kan%20worden%20afgebouwd%20en%20vervangen%20door%20andere%20).</t>
  </si>
  <si>
    <t>m3 besparing/jaar</t>
  </si>
  <si>
    <t>VITO</t>
  </si>
  <si>
    <t xml:space="preserve">Een standaard doormeting (1à2 weken)met enkel quick-wins kan leiden tot max 5 à 10% verbetering. Rekenen hier met een gemiddeld verbruik van een kmo van rond de 1000m3 per jaar. Volledige doorrekeningen nemen meer tijd in beslag, maar procentuele verbetering neemt af naarmate men dieper graaft. </t>
  </si>
  <si>
    <t>Studie doe je een keer om de 10 jaar</t>
  </si>
  <si>
    <t>€/audit</t>
  </si>
  <si>
    <t>voor Quick-wins zijn 1 à 2  weken nodig (reken met kostprijs van €500-1000/dag)</t>
  </si>
  <si>
    <t>Er wordt hier geen rekening gehouden met bijkomende kosten om aangeduide problemen ook effectief aan te pakken. Het gaat hier veeleer om quick wins die niet direct een aanpassing van het volledige proces vragen. Voorbeelden hiervan zijn; 
•	Opsporen lekken, openstaande kranen
•	Waterreductie bij reinigingsactiviteiten
•	Reductie koelwater door hogere recirculatiefactor toe te passen in koeltoren
•	Toepassen waterzuinig sanitair
•	Inzet hemelwater 
•	Hergebruik bepaalde waterstromen</t>
  </si>
  <si>
    <t xml:space="preserve">Zeer ruwe schatting, wanneer gestreefd wordt naar grotere percentages waterbesparing moet ik rekening gebracht worden dat dit andere, bijkomende investeringen vraag die dan ook in de totale kosten moeten meegenomen worden. Vandaar deze schatting louter op basis van quick wins. </t>
  </si>
  <si>
    <t xml:space="preserve">Audit zorgt voor lagere gebruiksfactuur en lagere saneringsbijdragen voor water. </t>
  </si>
  <si>
    <t>Wateraudit | Departement Landbouw &amp; Visserij (vlaanderen.be)</t>
  </si>
  <si>
    <t>Waterzuiveringsprocessen in de industrie met als doel waterhergebruik - zuivering naar laag kwaliteitswater</t>
  </si>
  <si>
    <t xml:space="preserve">Gaat hier over investeringen die het waterzuiveringsproces in bedrijven gaat uitbreiden en bijkomende stappen zodat het hergebruik van waterstromen in bedrijven wordt bevorderd. We gaan hier uit van twee verschillende scenario's. Enerzijds bekijken we de kosten van waterzuivering om van effluent proceswater tot water met een lage kwaliteit te komen dat al dan niet gedesinfecteerd is. Hiervoor zijn enkel een zandfilter en eventueel een desinfectiestap nodig. Voor water van dergelijke kwaliteit kan er uitgegaan worden van een tiental procent hergebruik van het totale debiet effluent proceswater. Anderzijds worden de kosten opgelijst die gepaard gaan met een waterzuivering van effluent proceswater tot water dat de kwaliteit heeft van drinkwater of zelfs volledig gedemineraliseerd is. Om drinkwaterkwaliteit te bereiken zijn volgende stappen nodig: zandfilter, ultrafiltratie, reverse osmose en desinfectie. Om tot gedemineraliseerd water te komen zijn dan weer volgende stappen nodig: zandfilter, UF, RO, actief kool en ion exchange. Wanneer water tot zo'n hoge kwaliteit kan gezuiverd worden, kan ervan uitgegaan worden dat 60 à 70% van het gezuiverde effluent zal hergebruikt worden. </t>
  </si>
  <si>
    <t>m3 water bespaard per jaar /m3 water behandeld per jaar</t>
  </si>
  <si>
    <t xml:space="preserve">Wanneer er een waterzuivering van effluent proceswater naar laag kwaliteit water plaatsvindt zal ongeveer 10% van het gezuiverde water hergebruikt kunnen worden. We veronderstellen hier een verliespercentage van 0% tijdens de zuivering. </t>
  </si>
  <si>
    <t>€/m3 behandeld</t>
  </si>
  <si>
    <t xml:space="preserve">Kosten reeds uitgedrukt in kosten per jaar. Voor deze kosten werd een discontovoet van 4,5% gehanteerd en een afschrijvingstermijn van 10 jaar. Deze getallen zijn conform te BBT. De min kost werden gebaseerd op een inkomend debiet (debiet effluent proceswater) van 1000m3/dag. De max. kosten zijn gebaseerd op een inkomend debiet dat gezuiverd moet worden van 10m3/dag en de gemiddelde kost is gebaseerd op de kosten gepaard met een inkomend debiet van 100m3/dag. Er zijn dus significante schaalvoordelen naarmate het te zuiveren debiet groter wordt. </t>
  </si>
  <si>
    <t>€/m3 water bespaard per jaar</t>
  </si>
  <si>
    <t>Waterzuiveringsprocessen in de industrie met als doel waterhergebruik - zuivering naar hoog kwaliteitswater</t>
  </si>
  <si>
    <t xml:space="preserve">Gaat hier over investeringen die het waterzuiveringsproces in bedrijven gaat uitbreiden (bv toevoegen membraanfiltratie) en bijkomende stappen zodat het hergebruik van waterstromen in bedrijven wordt bevorderd. We gaan hier uit van twee verschillende scenario's. Enerzijds bekijken we de kosten van waterzuivering om van effluent proceswater tot lage kwaliteit water te komen dat al dan niet gedesinfecteerd is. Hiervoor zijn enkel een zandfilter en eventueel een desinfectiestap nodig. Voor water van dergelijke kwaliteit kan er uitgegaan worden van een tiental procent hergebruik van het totale debiet effluent proceswater. Anderzijds worden de kosten opgelijst die gepaard gaan met een waterzuivering van effluent proceswater tot water dat de kwaliteit heeft van drinkwater of zelfs volledig gedemineraliseerd is. Om drinkwaterkwaliteit te bereiken zijn volgende stappen nodig: zandfilter, ultrafiltratie, reverse osmosis en desinfectie. Om tot gedemineraliseerd water te komen zijn dan weer volgende stappen nodig: zandfilter, UF, RO, actief kool en ion exchange. Wanneer water tot zo'n hoge kwaliteit kan gezuiverd worden, kan ervan uitgegaan worden dat 60 à 70% van het gezuiverde effluent zal hergebruikt worden. </t>
  </si>
  <si>
    <t xml:space="preserve">Wanneer er een waterzuivering van effluent proceswater naar hoog kwaliteit water plaatsvindt zal gemiddeld gezien tussen de 60 à 70% van het gezuiverde water hergebruikt kunnen worden . We veronderstellen hier een verliespercentage van 0% tijdens de zuivering. </t>
  </si>
  <si>
    <t xml:space="preserve">Kosten reeds uitgedrukt in kosten per jaar. Voor deze kosten werd een discontovoet van 4,5% gehanteerd en een afschrijvingstermijn van 10 jaar. Deze getallen zijn comform te BBT. De min kost werden gebaseerd op een inkomend debiet (debiet effluent proceswater) van 1000m3/dag. De max. kosten zijn gebaseerd op een inkomend debiet dat gezuiverd moet worden van 10m3/dag en de gemiddelde kost is gebaseerd op de kosten gepaard met een inkomend debiet van 100m3/dag. Er zijn dus significante schaalvoordelen naarmate het te zuiveren debiet groter wordt. </t>
  </si>
  <si>
    <t>Pompinstallaties sluizen</t>
  </si>
  <si>
    <t xml:space="preserve">Het watergebruik van de scheepvaart op de Vlaamse bevaarbare waterlopen wordt grotendeels bepaald door schuttingsverliezen aan de sluizen. Een oplossing om in tijden van droogte deze verliezen te minimaliseren is door het terugpompen van water aan sluizen. Hiervoor zijn 3 scenario's mogelijk. Ten eerste kan men werken met vaste pompinstallaties aan de sluizen die gecombineerd worden met waterkrachtcentrales om bij voldoende waterdebiet groene stroom op te wekken. Een tweede mogelijkheid is het afsluiten van een overeenkomst met Nederland dat Nederland in tijden van droogte meer water terugpompt. Vlaanderen vergoedt Nederland dan voor de extra pompkosten. Een derde optie is werken met mobiele pompinstallaties aan sluizen. De variabele kosten van de 3 mogelijke scenario's worden hier weergegeven. </t>
  </si>
  <si>
    <t>Getallen reeds uitgedrukt in €/m3</t>
  </si>
  <si>
    <t xml:space="preserve">Niet van toepassing, want vaste kosten van de pompen worden niet meegerekend in de kostenschatting, bij vaste pompinstallaties gaat men ervan uit dat deze terugverdiend worden a.d.h.v. de groene stroomproductie- en verkoop. In het geval dat Vl. Nl betaalt zitten kosten van afschrijvingen à rato vervat in de kost hieronder en bij mobiele installaties gaat het om huurkosten. </t>
  </si>
  <si>
    <t>Direct kosten: CAPEX + OPEX</t>
  </si>
  <si>
    <t>Gegevens uit studie VITO "Droogteschade" voor VMM</t>
  </si>
  <si>
    <t xml:space="preserve">Min. kosten zijn de kosten die gepaard gaan met kosten van vaste pompinstallaties. Deze bevatten de energiekost voor terugpompen van water (0,0048 €/m3, aangenomen dat hoogte terugpompen 10m bedraagt en dat pompen 77% efficiënt zijn) en de minderopbrengsten van productie groene stroom (0,0029€/m3). De max. kosten bedragen de vaste en variabele kosten van mobiele installaties in het maximum scenario (vaste kosten bedragen installatie, afbraakkosten en kosten van huur; variabele kosten zijn opnieuw energiekosten van terugpompen) (minimum kosten van mobiele installaties komen neer op 0,014€/m3). De kosten van een tijdelijke overeenkomst met Nederland komen neer op 0,014€/m3, hierin zitten vaste kosten (à rato bijdrage Vlaanderen voor afschrijving en onderhoud) en variabele kosten (energiekost terugpompen). De gemiddelde kost in de fiche is het gemiddelde van kosten van de 3 scenario's (min en max van mobiele installaties meegenomen). </t>
  </si>
  <si>
    <t xml:space="preserve">opletten voor verzilting van de kanalen (bv. Boudewijnkanaal) bij de sluizen in de buurt van de Noordzee. Dit dreigt toe te nemen door de zeespiegelstijging. </t>
  </si>
  <si>
    <t>Hydrologische herstelmaatregelen</t>
  </si>
  <si>
    <t xml:space="preserve">Set van maatregelen waaronder het herstellen van natuurlijke waterhuishouding, beek- en valleiherstel, oeverherstel. Hermeandering herstelt het waterbergend vermogen van de waterlopen (zie onder andere https://www.vlm.be/nl/SiteCollectionDocuments/ZwarteBeek/LIMZBnieuwsbrieffebruari2018.pdf ) </t>
  </si>
  <si>
    <t xml:space="preserve">50 m breed *0,5m diepte -&gt; 25m3 per lopende meter. </t>
  </si>
  <si>
    <t>eigen assumpties</t>
  </si>
  <si>
    <t>Studie Hydromorfologisch herstel</t>
  </si>
  <si>
    <t xml:space="preserve">Passieve hermeandering wordt geschat op 200-3000€/lopende meter oorspronkelijke lengte van de beek. Herstel van het natuurlijk lengteprofiel en maatregelen op de oever (inrichting oeverzone, oever op natuurlijke manier aanleggen of laterale connectiviteit verbeteren) worden ook geschat op kost van 200-3000€/lopende meter. Kost hangt sterk af van de huidige hydromorfologische toestand van de waterloop alsook of het een bevaarbare/onbevaarbare waterloop betreft (toeslag van 25% rekenen voor onbevaarbare waterlopen). </t>
  </si>
  <si>
    <t xml:space="preserve">Studie STOWA 'Juridisch en financieel-economisch instrumentarium voor beekherstelprojecten' (https://www.stowa.nl/sites/default/files/assets/PUBLICATIES/Publicaties%202020/STOWA%202020-29%20Handreiking%20juridisch%20financieel-economisch%20instrumentarium%20beekherstel.pdf ) </t>
  </si>
  <si>
    <t xml:space="preserve">Assumptie dat onderhoudskosten ongeveer 0,33% van de investeringskost bedraagt </t>
  </si>
  <si>
    <t>Ruimtegebruik</t>
  </si>
  <si>
    <t xml:space="preserve">O.a. hermeandering van waterlopen zorgt voor inname van kostbare ruimte en zorgt voor onvoorspelbaarder karakter van de waterloop. </t>
  </si>
  <si>
    <t xml:space="preserve">Vismigratie, vaak gaan hermeanderingsprojecten en beek- en valleiherstel gepaard met beplanting en dergelijke. </t>
  </si>
  <si>
    <t>Wateroverlast</t>
  </si>
  <si>
    <t>Hemeandering zorgt enerzijds voor vertraagde afvoer en buffering in de vallei, maar bij extreme regenval kan het kans op wateroverlast in bovenstroomse gebieden wel vergroten. De netto balans zal echter positief zijn want de juiste inrichting zorgt ervoor dat eventuele wateroverlast beperkt blijft tot gebieden waar dit geen of minimale schade veroorzaakt.</t>
  </si>
  <si>
    <t>Interne communicatie VLM</t>
  </si>
  <si>
    <t xml:space="preserve">Door hermeandering komt water op verschillende manieren meer in contact met zuurstof wat zuurstofgehalte in water doet toenemen. </t>
  </si>
  <si>
    <t>Groene inrichting speelplaatsen</t>
  </si>
  <si>
    <t>Deze maatregel houdt in dat de speelplaats zoveel mogelijk onbebouwd en niet betegeld is en dat er zoveel mogelijke groene elementen aangeplant zijn, zoals borders, grasvelden en bomen. De maatregelen die hier genomen kunnen worden zijn sterk uiteenlopend. Er kan onthard worden, bomen en andere beplanting geplaatst worden, aanleg van blauwgroene daken, aanleg van infiltratiekom/grachten/wadi's, aanleg ondergrondse waterberging, kiezen voor waterdoorlatende verharding, afkoppelen van de regenwaterafvoer, installeren van gootjes en waterlopen, hergebruik van regenwater, plaatsen van regenton/hemelwaterput, werken met hoogteverschillen en verdiepte delen.... Naast pedagogische voordelen en welzijnsfactoren is de verkoelende en infiltrerende functie van een groene speelplaats belangrijk. Voor meer info zie: https://blauwgroenvlaanderen.be/scholen/maatregelen/ , https://klimaatspeelplaats.com/ en https://blesland.be/</t>
  </si>
  <si>
    <t>https://www.rainproof.nl/thema/water-afvoeren</t>
  </si>
  <si>
    <t>80% van regenval vloeit af bij verharde oppervlaktes, platte daken, wegenis, pannendaken… Uitgaand van gemiddelde jaarlijkse neerslag van 800l/m² =&gt; 0,8*800l/m2 =&gt; op jaarbasis zal 0,64 m3 per m2 aangesloten oppervlakte water toekomen op onthard oppervlak. We gaan uit van100% infiltratie =&gt; infiltratiecapaciteit van 0,64 m3/m2 aangesloten</t>
  </si>
  <si>
    <t>Schatting consortium</t>
  </si>
  <si>
    <t>ANB &amp; BLES</t>
  </si>
  <si>
    <t xml:space="preserve">Omvat vaak meerdere van de andere maatregelen zoals ontharden, infiltratievoorzieningen, aanplanten bomen/groen/hagen, aanleg infrastructuur. Is dus moeilijk om hier kengetal op te plakken. Min schatting en max schatting komen van projectaanvragen die ingediend werden bij ANB voor financiële steun. Hierin zitten kosten van groenaanleg en ontwikkeling, aanleg van infra nodig voor de realisatie van de natuuroplossing en aanleg van verhardingen en halfverhardingen vervat. voor gemiddelde wordt nog project Sint-Pauluscollege in Kortrijk meegenomen waar o.a. ook kosten van ontdubbelen riolering en aanleg infiltratievoorzieningen in vervat zitten (gegevens via BLES). </t>
  </si>
  <si>
    <t>Eigen schatting (bij BLES 40u onderhoud per jaar door groendienst Kortrijk)</t>
  </si>
  <si>
    <t xml:space="preserve">Sterk afhankelijk van type maatregelen die toegepast worden. </t>
  </si>
  <si>
    <t>Bomen trekken ook volop vogels en andere dieren aan.</t>
  </si>
  <si>
    <t>Welzijn &amp; gezondheid</t>
  </si>
  <si>
    <t>Onderzoek toont dat groene speelomgevingen zorgen voor een betere gezondheid en mentaal welzijn van de kinderen (betere concentratie, productiever, minder pestgedrag…)</t>
  </si>
  <si>
    <t>Gratis whitepaper over de positieve impact van groene schoolpleinen - IVN</t>
  </si>
  <si>
    <t>Case nr</t>
  </si>
  <si>
    <t>Type</t>
  </si>
  <si>
    <t>total_buffervolume</t>
  </si>
  <si>
    <t>buffer_above_throughflow</t>
  </si>
  <si>
    <t>buffer_under_throughflow</t>
  </si>
  <si>
    <t>infiltratieoppervlakte wanden</t>
  </si>
  <si>
    <t>doorvoerdebiet</t>
  </si>
  <si>
    <t>infiltratiecapaciteit</t>
  </si>
  <si>
    <t>bodemoppervlakte</t>
  </si>
  <si>
    <t>Key</t>
  </si>
  <si>
    <t>MASS_infiltratie (m3/ha afwaterend opp/jaar)</t>
  </si>
  <si>
    <t>MASS_infiltratie (m3/m2 afwaterend opp/jaar)</t>
  </si>
  <si>
    <t>Huidig scenario</t>
  </si>
  <si>
    <t>Klei</t>
  </si>
  <si>
    <t>Leem</t>
  </si>
  <si>
    <t>Fijn zand</t>
  </si>
  <si>
    <t>Zand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</si>
</sst>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0_ ;[Red]\-#,##0\ "/>
    <numFmt numFmtId="166" formatCode="0.0"/>
    <numFmt numFmtId="167" formatCode="#,##0.00_ ;[Red]\-#,##0.00\ "/>
    <numFmt numFmtId="168" formatCode="0.00000"/>
    <numFmt numFmtId="169" formatCode="0.0000"/>
    <numFmt numFmtId="170" formatCode="0.000"/>
    <numFmt numFmtId="171" formatCode="_ * #,##0_ ;_ * \-#,##0_ ;_ * &quot;-&quot;??_ ;_ @_ "/>
    <numFmt numFmtId="172" formatCode="_ * #,##0.0000_ ;_ * \-#,##0.0000_ ;_ * &quot;-&quot;??_ ;_ @_ "/>
    <numFmt numFmtId="173" formatCode="0.0%"/>
  </numFmts>
  <fonts count="29">
    <font>
      <sz val="11"/>
      <color theme="1"/>
      <name val="Calibri"/>
      <family val="2"/>
      <scheme val="minor"/>
    </font>
    <font>
      <b/>
      <sz val="11"/>
      <color theme="0"/>
      <name val="Calibri"/>
      <family val="2"/>
      <scheme val="minor"/>
    </font>
    <font>
      <b/>
      <sz val="11"/>
      <color theme="1"/>
      <name val="Calibri"/>
      <family val="2"/>
      <scheme val="minor"/>
    </font>
    <font>
      <b/>
      <i/>
      <sz val="14"/>
      <color theme="0"/>
      <name val="Calibri"/>
      <family val="2"/>
      <scheme val="minor"/>
    </font>
    <font>
      <i/>
      <sz val="12"/>
      <color theme="1"/>
      <name val="Calibri"/>
      <family val="2"/>
      <scheme val="minor"/>
    </font>
    <font>
      <sz val="11"/>
      <name val="Calibri"/>
      <family val="2"/>
      <scheme val="minor"/>
    </font>
    <font>
      <b/>
      <sz val="11"/>
      <name val="Calibri"/>
      <family val="2"/>
      <scheme val="minor"/>
    </font>
    <font>
      <b/>
      <i/>
      <sz val="11"/>
      <name val="Calibri"/>
      <family val="2"/>
      <scheme val="minor"/>
    </font>
    <font>
      <i/>
      <sz val="11"/>
      <name val="Calibri"/>
      <family val="2"/>
      <scheme val="minor"/>
    </font>
    <font>
      <u/>
      <sz val="11"/>
      <color theme="10"/>
      <name val="Calibri"/>
      <family val="2"/>
      <scheme val="minor"/>
    </font>
    <font>
      <sz val="11"/>
      <color rgb="FFFF0000"/>
      <name val="Calibri"/>
      <family val="2"/>
      <scheme val="minor"/>
    </font>
    <font>
      <b/>
      <sz val="12"/>
      <color theme="1"/>
      <name val="Calibri"/>
      <family val="2"/>
      <scheme val="minor"/>
    </font>
    <font>
      <sz val="11"/>
      <color theme="1"/>
      <name val="Calibri"/>
      <family val="2"/>
      <scheme val="minor"/>
    </font>
    <font>
      <b/>
      <sz val="11"/>
      <color rgb="FFFF0000"/>
      <name val="Calibri"/>
      <family val="2"/>
      <scheme val="minor"/>
    </font>
    <font>
      <sz val="18"/>
      <color theme="4"/>
      <name val="Calibri"/>
      <family val="2"/>
      <scheme val="minor"/>
    </font>
    <font>
      <b/>
      <sz val="12"/>
      <name val="Calibri"/>
      <family val="2"/>
      <scheme val="minor"/>
    </font>
    <font>
      <b/>
      <sz val="11"/>
      <name val="Calibri"/>
      <family val="2"/>
    </font>
    <font>
      <u/>
      <sz val="11"/>
      <color rgb="FFFF0000"/>
      <name val="Calibri"/>
      <family val="2"/>
      <scheme val="minor"/>
    </font>
    <font>
      <sz val="8"/>
      <name val="Calibri"/>
      <family val="2"/>
      <scheme val="minor"/>
    </font>
    <font>
      <b/>
      <sz val="22"/>
      <color rgb="FF002E56"/>
      <name val="Calibri"/>
      <family val="2"/>
      <scheme val="minor"/>
    </font>
    <font>
      <b/>
      <sz val="14"/>
      <color rgb="FF002E56"/>
      <name val="Calibri"/>
      <family val="2"/>
      <scheme val="minor"/>
    </font>
    <font>
      <sz val="11"/>
      <color rgb="FF000000"/>
      <name val="Calibri"/>
    </font>
    <font>
      <sz val="11"/>
      <color rgb="FFFF0000"/>
      <name val="Calibri"/>
    </font>
    <font>
      <sz val="11"/>
      <name val="Calibri"/>
    </font>
    <font>
      <b/>
      <sz val="14"/>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rgb="FF187DCF"/>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D5EBFF"/>
        <bgColor indexed="64"/>
      </patternFill>
    </fill>
    <fill>
      <patternFill patternType="solid">
        <fgColor rgb="FFD0FBE3"/>
        <bgColor indexed="64"/>
      </patternFill>
    </fill>
    <fill>
      <patternFill patternType="solid">
        <fgColor rgb="FFFEF5D2"/>
        <bgColor indexed="64"/>
      </patternFill>
    </fill>
    <fill>
      <patternFill patternType="solid">
        <fgColor rgb="FFFFE1CC"/>
        <bgColor indexed="64"/>
      </patternFill>
    </fill>
    <fill>
      <patternFill patternType="solid">
        <fgColor theme="2"/>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auto="1"/>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2E56"/>
      </right>
      <top/>
      <bottom/>
      <diagonal/>
    </border>
    <border>
      <left style="medium">
        <color indexed="64"/>
      </left>
      <right/>
      <top/>
      <bottom style="thin">
        <color rgb="FF002E56"/>
      </bottom>
      <diagonal/>
    </border>
    <border>
      <left/>
      <right style="thin">
        <color rgb="FF002E56"/>
      </right>
      <top/>
      <bottom style="thin">
        <color rgb="FF002E56"/>
      </bottom>
      <diagonal/>
    </border>
    <border>
      <left style="medium">
        <color indexed="64"/>
      </left>
      <right/>
      <top style="thin">
        <color indexed="64"/>
      </top>
      <bottom/>
      <diagonal/>
    </border>
    <border>
      <left/>
      <right style="thin">
        <color rgb="FF002E56"/>
      </right>
      <top style="thin">
        <color indexed="64"/>
      </top>
      <bottom/>
      <diagonal/>
    </border>
  </borders>
  <cellStyleXfs count="4">
    <xf numFmtId="0" fontId="0" fillId="0" borderId="0"/>
    <xf numFmtId="0" fontId="9"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cellStyleXfs>
  <cellXfs count="331">
    <xf numFmtId="0" fontId="0" fillId="0" borderId="0" xfId="0"/>
    <xf numFmtId="0" fontId="2" fillId="3" borderId="2" xfId="0" applyFont="1" applyFill="1" applyBorder="1" applyAlignment="1">
      <alignment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166" fontId="5" fillId="0" borderId="5" xfId="0" applyNumberFormat="1" applyFont="1" applyBorder="1" applyAlignment="1">
      <alignment horizontal="left" vertical="top" wrapText="1"/>
    </xf>
    <xf numFmtId="0" fontId="5" fillId="0" borderId="2" xfId="0" quotePrefix="1" applyFont="1" applyBorder="1" applyAlignment="1">
      <alignment horizontal="left" vertical="top" wrapText="1"/>
    </xf>
    <xf numFmtId="0" fontId="5" fillId="0" borderId="8" xfId="0" quotePrefix="1" applyFont="1" applyBorder="1" applyAlignment="1">
      <alignment horizontal="left" vertical="top" wrapText="1"/>
    </xf>
    <xf numFmtId="0" fontId="5" fillId="0" borderId="10" xfId="0" quotePrefix="1" applyFont="1" applyBorder="1" applyAlignment="1">
      <alignment horizontal="left" vertical="top" wrapText="1"/>
    </xf>
    <xf numFmtId="0" fontId="5" fillId="0" borderId="7" xfId="0" applyFont="1" applyBorder="1" applyAlignment="1">
      <alignment horizontal="left" vertical="top" wrapText="1"/>
    </xf>
    <xf numFmtId="2" fontId="5" fillId="0" borderId="5" xfId="0" applyNumberFormat="1" applyFont="1" applyBorder="1" applyAlignment="1">
      <alignment horizontal="left" vertical="top" wrapText="1"/>
    </xf>
    <xf numFmtId="0" fontId="1" fillId="2" borderId="0" xfId="0" applyFont="1" applyFill="1" applyAlignment="1">
      <alignment horizontal="left"/>
    </xf>
    <xf numFmtId="0" fontId="5" fillId="0" borderId="5" xfId="0" applyFont="1" applyBorder="1" applyAlignment="1">
      <alignment horizontal="left" vertical="top" wrapText="1"/>
    </xf>
    <xf numFmtId="0" fontId="0" fillId="0" borderId="13" xfId="0" applyBorder="1"/>
    <xf numFmtId="0" fontId="0" fillId="0" borderId="2" xfId="0" applyBorder="1" applyAlignment="1">
      <alignment horizontal="left" vertical="top" wrapText="1"/>
    </xf>
    <xf numFmtId="165" fontId="5" fillId="0" borderId="2" xfId="0" applyNumberFormat="1" applyFont="1" applyBorder="1" applyAlignment="1">
      <alignment horizontal="left" vertical="top" wrapText="1"/>
    </xf>
    <xf numFmtId="0" fontId="0" fillId="0" borderId="2" xfId="0" applyBorder="1" applyAlignment="1">
      <alignment wrapText="1"/>
    </xf>
    <xf numFmtId="0" fontId="5" fillId="0" borderId="8" xfId="0" applyFont="1" applyBorder="1" applyAlignment="1">
      <alignment horizontal="left" vertical="top" wrapText="1"/>
    </xf>
    <xf numFmtId="0" fontId="7" fillId="3" borderId="18" xfId="0" applyFont="1" applyFill="1" applyBorder="1" applyAlignment="1">
      <alignment horizontal="left" vertical="top" wrapText="1"/>
    </xf>
    <xf numFmtId="0" fontId="8" fillId="3" borderId="19" xfId="0" quotePrefix="1"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5" xfId="0" applyFont="1" applyFill="1" applyBorder="1" applyAlignment="1">
      <alignment horizontal="left" vertical="top" wrapText="1"/>
    </xf>
    <xf numFmtId="0" fontId="2" fillId="3" borderId="15" xfId="0" applyFont="1" applyFill="1" applyBorder="1" applyAlignment="1">
      <alignment wrapText="1"/>
    </xf>
    <xf numFmtId="0" fontId="5" fillId="0" borderId="17" xfId="0" applyFont="1" applyBorder="1" applyAlignment="1">
      <alignment horizontal="left" vertical="top" wrapText="1"/>
    </xf>
    <xf numFmtId="0" fontId="2" fillId="0" borderId="2" xfId="0" applyFont="1" applyBorder="1" applyAlignment="1">
      <alignment wrapText="1"/>
    </xf>
    <xf numFmtId="0" fontId="1" fillId="2" borderId="13" xfId="0" applyFont="1" applyFill="1" applyBorder="1" applyAlignment="1">
      <alignment horizontal="left"/>
    </xf>
    <xf numFmtId="0" fontId="5" fillId="4" borderId="13" xfId="0" applyFont="1" applyFill="1" applyBorder="1" applyAlignment="1">
      <alignment horizontal="left" vertical="top" wrapText="1"/>
    </xf>
    <xf numFmtId="0" fontId="2" fillId="3" borderId="15" xfId="0" applyFont="1" applyFill="1" applyBorder="1" applyAlignment="1">
      <alignment vertical="top" wrapText="1"/>
    </xf>
    <xf numFmtId="0" fontId="6" fillId="3" borderId="1" xfId="0" applyFont="1" applyFill="1" applyBorder="1" applyAlignment="1">
      <alignment horizontal="left" wrapText="1"/>
    </xf>
    <xf numFmtId="0" fontId="5" fillId="0" borderId="13" xfId="0" applyFont="1" applyBorder="1" applyAlignment="1">
      <alignment horizontal="left" vertical="top" wrapText="1"/>
    </xf>
    <xf numFmtId="0" fontId="9" fillId="0" borderId="0" xfId="1"/>
    <xf numFmtId="165" fontId="5" fillId="0" borderId="0" xfId="0" applyNumberFormat="1" applyFont="1" applyAlignment="1">
      <alignment vertical="top" wrapText="1"/>
    </xf>
    <xf numFmtId="0" fontId="6" fillId="3" borderId="2" xfId="0" applyFont="1" applyFill="1" applyBorder="1" applyAlignment="1">
      <alignment horizontal="left" vertical="top" wrapText="1"/>
    </xf>
    <xf numFmtId="0" fontId="2" fillId="3" borderId="2" xfId="0" applyFont="1" applyFill="1" applyBorder="1" applyAlignment="1">
      <alignment vertical="top" wrapText="1"/>
    </xf>
    <xf numFmtId="2" fontId="5" fillId="0" borderId="2" xfId="0" applyNumberFormat="1" applyFont="1" applyBorder="1" applyAlignment="1">
      <alignment horizontal="left" vertical="top" wrapText="1"/>
    </xf>
    <xf numFmtId="165" fontId="5" fillId="0" borderId="2" xfId="0" applyNumberFormat="1" applyFont="1" applyBorder="1" applyAlignment="1">
      <alignment vertical="top" wrapText="1"/>
    </xf>
    <xf numFmtId="165" fontId="5" fillId="0" borderId="8" xfId="0" applyNumberFormat="1" applyFont="1" applyBorder="1" applyAlignment="1">
      <alignment horizontal="left" vertical="top" wrapText="1"/>
    </xf>
    <xf numFmtId="169" fontId="5" fillId="0" borderId="16" xfId="0" applyNumberFormat="1" applyFont="1" applyBorder="1" applyAlignment="1">
      <alignment horizontal="left" vertical="top" wrapText="1"/>
    </xf>
    <xf numFmtId="0" fontId="0" fillId="0" borderId="0" xfId="0" applyAlignment="1">
      <alignment vertical="top" wrapText="1"/>
    </xf>
    <xf numFmtId="0" fontId="5" fillId="0" borderId="20" xfId="0" applyFont="1" applyBorder="1" applyAlignment="1">
      <alignment horizontal="left" vertical="top" wrapText="1"/>
    </xf>
    <xf numFmtId="0" fontId="5" fillId="0" borderId="19" xfId="0" quotePrefix="1" applyFont="1" applyBorder="1" applyAlignment="1">
      <alignment horizontal="left" vertical="top" wrapText="1"/>
    </xf>
    <xf numFmtId="0" fontId="10" fillId="0" borderId="0" xfId="0" applyFont="1" applyAlignment="1">
      <alignment vertical="top" wrapText="1"/>
    </xf>
    <xf numFmtId="2" fontId="0" fillId="0" borderId="0" xfId="0" applyNumberFormat="1"/>
    <xf numFmtId="0" fontId="10" fillId="0" borderId="0" xfId="0" applyFont="1"/>
    <xf numFmtId="0" fontId="0" fillId="0" borderId="2" xfId="0" applyBorder="1" applyAlignment="1">
      <alignment vertical="top" wrapText="1"/>
    </xf>
    <xf numFmtId="0" fontId="0" fillId="0" borderId="13" xfId="0" applyBorder="1" applyAlignment="1">
      <alignment wrapText="1"/>
    </xf>
    <xf numFmtId="0" fontId="0" fillId="0" borderId="0" xfId="0" applyAlignment="1">
      <alignment wrapText="1"/>
    </xf>
    <xf numFmtId="0" fontId="9" fillId="0" borderId="2" xfId="1" applyBorder="1"/>
    <xf numFmtId="0" fontId="8" fillId="3" borderId="2" xfId="0" applyFont="1" applyFill="1" applyBorder="1" applyAlignment="1">
      <alignment horizontal="left" vertical="top" wrapText="1"/>
    </xf>
    <xf numFmtId="0" fontId="9" fillId="0" borderId="2" xfId="1" applyBorder="1" applyAlignment="1">
      <alignment wrapText="1"/>
    </xf>
    <xf numFmtId="166" fontId="0" fillId="0" borderId="2" xfId="0" applyNumberFormat="1" applyBorder="1" applyAlignment="1">
      <alignment vertical="top"/>
    </xf>
    <xf numFmtId="2" fontId="5" fillId="0" borderId="16" xfId="0" applyNumberFormat="1" applyFont="1" applyBorder="1" applyAlignment="1">
      <alignment horizontal="right" vertical="top" wrapText="1"/>
    </xf>
    <xf numFmtId="2" fontId="5" fillId="0" borderId="2" xfId="0" applyNumberFormat="1" applyFont="1" applyBorder="1" applyAlignment="1">
      <alignment horizontal="right" vertical="top" wrapText="1"/>
    </xf>
    <xf numFmtId="0" fontId="5" fillId="0" borderId="5" xfId="0" applyFont="1" applyBorder="1" applyAlignment="1">
      <alignment horizontal="right" vertical="top" wrapText="1"/>
    </xf>
    <xf numFmtId="2" fontId="5" fillId="0" borderId="5" xfId="0" applyNumberFormat="1" applyFont="1" applyBorder="1" applyAlignment="1">
      <alignment horizontal="right" vertical="top" wrapText="1"/>
    </xf>
    <xf numFmtId="166" fontId="5" fillId="0" borderId="2" xfId="0" applyNumberFormat="1" applyFont="1" applyBorder="1" applyAlignment="1">
      <alignment horizontal="right" vertical="top" wrapText="1"/>
    </xf>
    <xf numFmtId="0" fontId="9" fillId="0" borderId="2" xfId="1" applyBorder="1" applyAlignment="1">
      <alignment vertical="top"/>
    </xf>
    <xf numFmtId="169" fontId="0" fillId="0" borderId="0" xfId="0" applyNumberFormat="1"/>
    <xf numFmtId="170" fontId="0" fillId="0" borderId="0" xfId="0" applyNumberFormat="1"/>
    <xf numFmtId="0" fontId="0" fillId="0" borderId="2" xfId="0" applyBorder="1"/>
    <xf numFmtId="0" fontId="5" fillId="0" borderId="2" xfId="0" applyFont="1" applyBorder="1" applyAlignment="1">
      <alignment horizontal="right" vertical="top" wrapText="1"/>
    </xf>
    <xf numFmtId="0" fontId="2" fillId="3" borderId="2" xfId="0" applyFont="1" applyFill="1" applyBorder="1" applyAlignment="1">
      <alignment horizontal="left" wrapText="1"/>
    </xf>
    <xf numFmtId="0" fontId="5" fillId="0" borderId="16" xfId="0" applyFont="1" applyBorder="1" applyAlignment="1">
      <alignment horizontal="left" vertical="top" wrapText="1"/>
    </xf>
    <xf numFmtId="171" fontId="0" fillId="0" borderId="0" xfId="2" applyNumberFormat="1" applyFont="1" applyFill="1"/>
    <xf numFmtId="172" fontId="0" fillId="0" borderId="0" xfId="0" applyNumberFormat="1"/>
    <xf numFmtId="171" fontId="0" fillId="0" borderId="0" xfId="2" applyNumberFormat="1" applyFont="1" applyFill="1" applyAlignment="1">
      <alignment vertical="top"/>
    </xf>
    <xf numFmtId="0" fontId="0" fillId="0" borderId="0" xfId="0" applyAlignment="1">
      <alignment vertical="top"/>
    </xf>
    <xf numFmtId="172" fontId="0" fillId="0" borderId="0" xfId="0" applyNumberFormat="1" applyAlignment="1">
      <alignment vertical="top"/>
    </xf>
    <xf numFmtId="0" fontId="5" fillId="0" borderId="7" xfId="0" applyFont="1" applyBorder="1" applyAlignment="1">
      <alignment vertical="top" wrapText="1"/>
    </xf>
    <xf numFmtId="0" fontId="0" fillId="0" borderId="2" xfId="0" applyBorder="1" applyAlignment="1">
      <alignment vertical="top"/>
    </xf>
    <xf numFmtId="169" fontId="5" fillId="0" borderId="16" xfId="0" applyNumberFormat="1" applyFont="1" applyBorder="1" applyAlignment="1">
      <alignment horizontal="right" vertical="top" wrapText="1"/>
    </xf>
    <xf numFmtId="0" fontId="5" fillId="0" borderId="16" xfId="0" applyFont="1" applyBorder="1" applyAlignment="1">
      <alignment vertical="top" wrapText="1"/>
    </xf>
    <xf numFmtId="0" fontId="5" fillId="0" borderId="8" xfId="0" applyFont="1" applyBorder="1" applyAlignment="1">
      <alignment vertical="top" wrapText="1"/>
    </xf>
    <xf numFmtId="0" fontId="6" fillId="3" borderId="2" xfId="0" applyFont="1" applyFill="1" applyBorder="1" applyAlignment="1">
      <alignment horizontal="left" wrapText="1"/>
    </xf>
    <xf numFmtId="0" fontId="5" fillId="0" borderId="2" xfId="0" applyFont="1" applyBorder="1" applyAlignment="1">
      <alignment vertical="top" wrapText="1"/>
    </xf>
    <xf numFmtId="0" fontId="1" fillId="2" borderId="2" xfId="0" applyFont="1" applyFill="1" applyBorder="1" applyAlignment="1">
      <alignment horizontal="left"/>
    </xf>
    <xf numFmtId="0" fontId="7" fillId="3" borderId="2" xfId="0" applyFont="1" applyFill="1" applyBorder="1" applyAlignment="1">
      <alignment horizontal="left" vertical="top" wrapText="1"/>
    </xf>
    <xf numFmtId="0" fontId="8" fillId="3" borderId="2" xfId="0" quotePrefix="1" applyFont="1" applyFill="1" applyBorder="1" applyAlignment="1">
      <alignment horizontal="left" vertical="top" wrapText="1"/>
    </xf>
    <xf numFmtId="0" fontId="5" fillId="4" borderId="2" xfId="0" applyFont="1" applyFill="1" applyBorder="1" applyAlignment="1">
      <alignment horizontal="left" vertical="top" wrapText="1"/>
    </xf>
    <xf numFmtId="167" fontId="5" fillId="0" borderId="2" xfId="0" applyNumberFormat="1" applyFont="1" applyBorder="1" applyAlignment="1">
      <alignment horizontal="right" vertical="top" wrapText="1"/>
    </xf>
    <xf numFmtId="0" fontId="1" fillId="2" borderId="2" xfId="0" applyFont="1" applyFill="1" applyBorder="1" applyAlignment="1">
      <alignment horizontal="right"/>
    </xf>
    <xf numFmtId="0" fontId="6" fillId="3" borderId="2" xfId="0" applyFont="1" applyFill="1" applyBorder="1" applyAlignment="1">
      <alignment horizontal="right" vertical="top" wrapText="1"/>
    </xf>
    <xf numFmtId="0" fontId="2" fillId="3" borderId="2" xfId="0" applyFont="1" applyFill="1" applyBorder="1" applyAlignment="1">
      <alignment horizontal="right" wrapText="1"/>
    </xf>
    <xf numFmtId="169" fontId="5" fillId="0" borderId="2" xfId="0" applyNumberFormat="1" applyFont="1" applyBorder="1" applyAlignment="1">
      <alignment horizontal="right" vertical="top" wrapText="1"/>
    </xf>
    <xf numFmtId="166" fontId="5" fillId="0" borderId="5" xfId="0" applyNumberFormat="1" applyFont="1" applyBorder="1" applyAlignment="1">
      <alignment horizontal="right" vertical="top" wrapText="1"/>
    </xf>
    <xf numFmtId="2" fontId="0" fillId="0" borderId="2" xfId="0" applyNumberFormat="1" applyBorder="1" applyAlignment="1">
      <alignment horizontal="right" vertical="top"/>
    </xf>
    <xf numFmtId="166" fontId="0" fillId="0" borderId="2" xfId="0" applyNumberFormat="1" applyBorder="1" applyAlignment="1">
      <alignment horizontal="right" vertical="top"/>
    </xf>
    <xf numFmtId="0" fontId="0" fillId="0" borderId="2" xfId="0" applyBorder="1" applyAlignment="1">
      <alignment horizontal="right" vertical="top"/>
    </xf>
    <xf numFmtId="0" fontId="2" fillId="3" borderId="2" xfId="0" applyFont="1" applyFill="1" applyBorder="1" applyAlignment="1">
      <alignment horizontal="right" vertical="top" wrapText="1"/>
    </xf>
    <xf numFmtId="170" fontId="5" fillId="0" borderId="2" xfId="0" applyNumberFormat="1" applyFont="1" applyBorder="1" applyAlignment="1">
      <alignment horizontal="right" vertical="top" wrapText="1"/>
    </xf>
    <xf numFmtId="2" fontId="0" fillId="0" borderId="2" xfId="0" applyNumberFormat="1" applyBorder="1" applyAlignment="1">
      <alignment vertical="top"/>
    </xf>
    <xf numFmtId="169" fontId="5" fillId="0" borderId="5" xfId="0" applyNumberFormat="1" applyFont="1" applyBorder="1" applyAlignment="1">
      <alignment horizontal="right" vertical="top" wrapText="1"/>
    </xf>
    <xf numFmtId="168" fontId="5" fillId="0" borderId="5" xfId="0" applyNumberFormat="1" applyFont="1" applyBorder="1" applyAlignment="1">
      <alignment horizontal="right" vertical="top" wrapText="1"/>
    </xf>
    <xf numFmtId="168" fontId="5" fillId="0" borderId="16" xfId="0" applyNumberFormat="1" applyFont="1" applyBorder="1" applyAlignment="1">
      <alignment horizontal="right" vertical="top" wrapText="1"/>
    </xf>
    <xf numFmtId="170" fontId="5" fillId="0" borderId="5" xfId="0" applyNumberFormat="1" applyFont="1" applyBorder="1" applyAlignment="1">
      <alignment horizontal="right" vertical="top" wrapText="1"/>
    </xf>
    <xf numFmtId="170" fontId="5" fillId="0" borderId="2" xfId="0" applyNumberFormat="1" applyFont="1" applyBorder="1" applyAlignment="1">
      <alignment horizontal="left" vertical="top" wrapText="1"/>
    </xf>
    <xf numFmtId="169" fontId="5" fillId="0" borderId="2" xfId="0" applyNumberFormat="1" applyFont="1" applyBorder="1" applyAlignment="1">
      <alignment horizontal="left" vertical="top" wrapText="1"/>
    </xf>
    <xf numFmtId="0" fontId="1" fillId="2" borderId="2" xfId="0" applyFont="1" applyFill="1" applyBorder="1" applyAlignment="1">
      <alignment horizontal="left" vertical="top"/>
    </xf>
    <xf numFmtId="0" fontId="11" fillId="0" borderId="0" xfId="0" applyFont="1" applyAlignment="1">
      <alignment horizontal="left"/>
    </xf>
    <xf numFmtId="0" fontId="11" fillId="0" borderId="0" xfId="0" applyFont="1" applyAlignment="1">
      <alignment horizontal="left" vertical="top"/>
    </xf>
    <xf numFmtId="165" fontId="10" fillId="0" borderId="0" xfId="0" applyNumberFormat="1" applyFont="1" applyAlignment="1">
      <alignment vertical="top" wrapText="1"/>
    </xf>
    <xf numFmtId="0" fontId="13" fillId="0" borderId="0" xfId="0" applyFont="1"/>
    <xf numFmtId="0" fontId="5" fillId="0" borderId="12" xfId="0" applyFont="1" applyBorder="1" applyAlignment="1">
      <alignment horizontal="left" vertical="top" wrapText="1"/>
    </xf>
    <xf numFmtId="1" fontId="5" fillId="0" borderId="5" xfId="0" applyNumberFormat="1" applyFont="1" applyBorder="1" applyAlignment="1">
      <alignment horizontal="right" vertical="top" wrapText="1"/>
    </xf>
    <xf numFmtId="0" fontId="9" fillId="0" borderId="2" xfId="1" applyFill="1" applyBorder="1" applyAlignment="1">
      <alignment horizontal="left" vertical="top" wrapText="1"/>
    </xf>
    <xf numFmtId="0" fontId="5" fillId="0" borderId="2" xfId="1" applyFont="1" applyFill="1" applyBorder="1" applyAlignment="1">
      <alignment horizontal="left" vertical="top" wrapText="1"/>
    </xf>
    <xf numFmtId="0" fontId="10" fillId="0" borderId="0" xfId="0" applyFont="1" applyAlignment="1">
      <alignment wrapText="1"/>
    </xf>
    <xf numFmtId="1" fontId="5" fillId="0" borderId="2" xfId="0" applyNumberFormat="1" applyFont="1" applyBorder="1" applyAlignment="1">
      <alignment horizontal="right" vertical="top"/>
    </xf>
    <xf numFmtId="1" fontId="5" fillId="0" borderId="2" xfId="0" applyNumberFormat="1" applyFont="1" applyBorder="1" applyAlignment="1">
      <alignment horizontal="right" vertical="top" wrapText="1"/>
    </xf>
    <xf numFmtId="1" fontId="5" fillId="0" borderId="16" xfId="0" applyNumberFormat="1" applyFont="1" applyBorder="1" applyAlignment="1">
      <alignment horizontal="right" vertical="top" wrapText="1"/>
    </xf>
    <xf numFmtId="0" fontId="0" fillId="0" borderId="0" xfId="0" applyAlignment="1">
      <alignment horizontal="left" wrapText="1"/>
    </xf>
    <xf numFmtId="171" fontId="0" fillId="0" borderId="0" xfId="0" applyNumberFormat="1"/>
    <xf numFmtId="0" fontId="0" fillId="0" borderId="13" xfId="0" applyBorder="1" applyAlignment="1">
      <alignment horizontal="left" vertical="top" wrapText="1"/>
    </xf>
    <xf numFmtId="0" fontId="5" fillId="0" borderId="3" xfId="1" applyFont="1" applyBorder="1" applyAlignment="1">
      <alignment vertical="top" wrapText="1"/>
    </xf>
    <xf numFmtId="0" fontId="5" fillId="0" borderId="0" xfId="0" applyFont="1" applyAlignment="1">
      <alignment vertical="top" wrapText="1"/>
    </xf>
    <xf numFmtId="0" fontId="0" fillId="0" borderId="0" xfId="0" applyAlignment="1">
      <alignment horizontal="left" vertical="top" wrapText="1"/>
    </xf>
    <xf numFmtId="0" fontId="0" fillId="0" borderId="11" xfId="0" applyBorder="1" applyAlignment="1">
      <alignment vertical="top" wrapText="1"/>
    </xf>
    <xf numFmtId="0" fontId="5" fillId="0" borderId="0" xfId="1" applyFont="1" applyBorder="1" applyAlignment="1">
      <alignment vertical="top"/>
    </xf>
    <xf numFmtId="0" fontId="10" fillId="0" borderId="0" xfId="0" applyFont="1" applyAlignment="1">
      <alignment horizontal="left" vertical="top" wrapText="1"/>
    </xf>
    <xf numFmtId="0" fontId="16" fillId="0" borderId="20" xfId="0" applyFont="1" applyBorder="1" applyAlignment="1">
      <alignment horizontal="left"/>
    </xf>
    <xf numFmtId="0" fontId="0" fillId="0" borderId="0" xfId="0" applyAlignment="1">
      <alignment horizontal="left"/>
    </xf>
    <xf numFmtId="0" fontId="16" fillId="0" borderId="20" xfId="0" applyFont="1" applyBorder="1" applyAlignment="1">
      <alignment horizontal="right"/>
    </xf>
    <xf numFmtId="0" fontId="0" fillId="0" borderId="0" xfId="0" applyAlignment="1">
      <alignment horizontal="right"/>
    </xf>
    <xf numFmtId="0" fontId="0" fillId="0" borderId="11" xfId="0" applyBorder="1" applyAlignment="1">
      <alignment horizontal="right"/>
    </xf>
    <xf numFmtId="0" fontId="16" fillId="0" borderId="21" xfId="0" applyFont="1" applyBorder="1" applyAlignment="1">
      <alignment horizontal="right"/>
    </xf>
    <xf numFmtId="0" fontId="0" fillId="0" borderId="13" xfId="0" applyBorder="1" applyAlignment="1">
      <alignment horizontal="right"/>
    </xf>
    <xf numFmtId="0" fontId="0" fillId="0" borderId="6" xfId="0" applyBorder="1"/>
    <xf numFmtId="170" fontId="5" fillId="0" borderId="16" xfId="0" applyNumberFormat="1" applyFont="1" applyBorder="1" applyAlignment="1">
      <alignment horizontal="right" vertical="top" wrapText="1"/>
    </xf>
    <xf numFmtId="0" fontId="17" fillId="0" borderId="0" xfId="1" applyFont="1"/>
    <xf numFmtId="0" fontId="17" fillId="0" borderId="0" xfId="1" applyFont="1" applyBorder="1" applyAlignment="1">
      <alignment horizontal="left" vertical="top" wrapText="1"/>
    </xf>
    <xf numFmtId="0" fontId="14" fillId="0" borderId="0" xfId="0" applyFont="1" applyAlignment="1">
      <alignment vertical="top"/>
    </xf>
    <xf numFmtId="0" fontId="19" fillId="0" borderId="0" xfId="0" applyFont="1" applyAlignment="1">
      <alignment vertical="top"/>
    </xf>
    <xf numFmtId="0" fontId="5" fillId="0" borderId="2" xfId="1" applyFont="1" applyBorder="1"/>
    <xf numFmtId="166" fontId="0" fillId="0" borderId="0" xfId="0" applyNumberFormat="1" applyAlignment="1">
      <alignment horizontal="right" vertical="top"/>
    </xf>
    <xf numFmtId="166" fontId="5" fillId="0" borderId="2" xfId="0" applyNumberFormat="1" applyFont="1" applyBorder="1" applyAlignment="1">
      <alignment vertical="top"/>
    </xf>
    <xf numFmtId="0" fontId="6" fillId="5" borderId="15" xfId="0" applyFont="1" applyFill="1" applyBorder="1" applyAlignment="1">
      <alignment horizontal="left" vertical="top" wrapText="1"/>
    </xf>
    <xf numFmtId="0" fontId="6" fillId="5" borderId="15" xfId="0" applyFont="1" applyFill="1" applyBorder="1" applyAlignment="1">
      <alignment vertical="top" wrapText="1"/>
    </xf>
    <xf numFmtId="0" fontId="0" fillId="7" borderId="0" xfId="0" applyFill="1"/>
    <xf numFmtId="0" fontId="0" fillId="8" borderId="0" xfId="0" applyFill="1"/>
    <xf numFmtId="0" fontId="0" fillId="9" borderId="0" xfId="0" applyFill="1"/>
    <xf numFmtId="0" fontId="2" fillId="7" borderId="0" xfId="0" applyFont="1" applyFill="1"/>
    <xf numFmtId="0" fontId="2" fillId="8" borderId="0" xfId="0" applyFont="1" applyFill="1"/>
    <xf numFmtId="0" fontId="0" fillId="0" borderId="23" xfId="0" applyBorder="1"/>
    <xf numFmtId="0" fontId="0" fillId="6" borderId="22" xfId="0" applyFill="1" applyBorder="1"/>
    <xf numFmtId="0" fontId="0" fillId="6" borderId="24" xfId="0" applyFill="1" applyBorder="1"/>
    <xf numFmtId="0" fontId="2" fillId="9" borderId="0" xfId="0" applyFont="1" applyFill="1"/>
    <xf numFmtId="0" fontId="2" fillId="3" borderId="20" xfId="0" applyFont="1" applyFill="1" applyBorder="1" applyAlignment="1">
      <alignment wrapText="1"/>
    </xf>
    <xf numFmtId="0" fontId="10" fillId="0" borderId="0" xfId="0" applyFont="1" applyAlignment="1">
      <alignment vertical="top"/>
    </xf>
    <xf numFmtId="165" fontId="23" fillId="0" borderId="2" xfId="0" applyNumberFormat="1" applyFont="1" applyBorder="1" applyAlignment="1">
      <alignment horizontal="left" vertical="top" wrapText="1"/>
    </xf>
    <xf numFmtId="0" fontId="24" fillId="0" borderId="0" xfId="0" applyFont="1" applyAlignment="1">
      <alignment horizontal="left"/>
    </xf>
    <xf numFmtId="0" fontId="26" fillId="0" borderId="0" xfId="0" applyFont="1"/>
    <xf numFmtId="0" fontId="25" fillId="0" borderId="0" xfId="0" applyFont="1" applyAlignment="1">
      <alignment horizontal="left"/>
    </xf>
    <xf numFmtId="0" fontId="25" fillId="0" borderId="0" xfId="0" applyFont="1" applyAlignment="1">
      <alignment horizontal="left" vertical="top"/>
    </xf>
    <xf numFmtId="0" fontId="27" fillId="0" borderId="0" xfId="0" applyFont="1"/>
    <xf numFmtId="0" fontId="2" fillId="8" borderId="0" xfId="0" applyFont="1" applyFill="1" applyAlignment="1">
      <alignment wrapText="1"/>
    </xf>
    <xf numFmtId="0" fontId="28" fillId="0" borderId="0" xfId="0" applyFont="1"/>
    <xf numFmtId="0" fontId="0" fillId="0" borderId="25" xfId="0" applyBorder="1"/>
    <xf numFmtId="173" fontId="0" fillId="6" borderId="26" xfId="3" applyNumberFormat="1" applyFont="1" applyFill="1" applyBorder="1"/>
    <xf numFmtId="0" fontId="28" fillId="0" borderId="0" xfId="0" applyFont="1" applyAlignment="1">
      <alignment horizontal="left" vertical="top" wrapText="1"/>
    </xf>
    <xf numFmtId="0" fontId="5" fillId="0" borderId="25" xfId="0" applyFont="1" applyBorder="1"/>
    <xf numFmtId="0" fontId="0" fillId="6" borderId="26" xfId="0" applyFill="1" applyBorder="1"/>
    <xf numFmtId="0" fontId="8" fillId="0" borderId="0" xfId="0" applyFont="1"/>
    <xf numFmtId="0" fontId="20" fillId="0" borderId="0" xfId="0" applyFont="1"/>
    <xf numFmtId="0" fontId="8" fillId="3" borderId="15" xfId="0" applyFont="1" applyFill="1" applyBorder="1" applyAlignment="1">
      <alignment horizontal="left" vertical="top" wrapText="1"/>
    </xf>
    <xf numFmtId="0" fontId="0" fillId="0" borderId="15" xfId="0" applyBorder="1" applyAlignment="1">
      <alignment wrapText="1"/>
    </xf>
    <xf numFmtId="0" fontId="0" fillId="0" borderId="11" xfId="0" applyBorder="1"/>
    <xf numFmtId="0" fontId="20" fillId="0" borderId="0" xfId="0" applyFont="1" applyAlignment="1">
      <alignment horizontal="left" vertical="top"/>
    </xf>
    <xf numFmtId="0" fontId="0" fillId="0" borderId="0" xfId="0" applyAlignment="1">
      <alignment horizontal="left" vertical="top" wrapText="1"/>
    </xf>
    <xf numFmtId="0" fontId="0" fillId="10" borderId="6" xfId="0" applyFill="1" applyBorder="1" applyAlignment="1">
      <alignment horizontal="left" vertical="top" wrapText="1"/>
    </xf>
    <xf numFmtId="0" fontId="0" fillId="10" borderId="0" xfId="0" applyFill="1" applyAlignment="1">
      <alignment horizontal="left" vertical="top" wrapText="1"/>
    </xf>
    <xf numFmtId="0" fontId="28" fillId="0" borderId="0" xfId="0" applyFont="1" applyAlignment="1">
      <alignment horizontal="left" vertical="top" wrapText="1"/>
    </xf>
    <xf numFmtId="0" fontId="0" fillId="0" borderId="0" xfId="0" applyAlignment="1">
      <alignment horizontal="left"/>
    </xf>
    <xf numFmtId="0" fontId="25" fillId="0" borderId="0" xfId="0" applyFont="1" applyAlignment="1">
      <alignment vertical="top"/>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1" fillId="2" borderId="2" xfId="0" applyFont="1" applyFill="1" applyBorder="1" applyAlignment="1">
      <alignment horizontal="left"/>
    </xf>
    <xf numFmtId="0" fontId="0" fillId="0" borderId="2" xfId="0" applyBorder="1" applyAlignment="1">
      <alignment vertical="top" wrapText="1"/>
    </xf>
    <xf numFmtId="0" fontId="5"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2" fillId="0" borderId="2" xfId="0" applyFont="1" applyBorder="1" applyAlignment="1">
      <alignment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8" fillId="3" borderId="2" xfId="0" applyFont="1" applyFill="1" applyBorder="1" applyAlignment="1">
      <alignment horizontal="left" vertical="top" wrapText="1"/>
    </xf>
    <xf numFmtId="0" fontId="2" fillId="3" borderId="2" xfId="0" applyFont="1" applyFill="1" applyBorder="1" applyAlignment="1">
      <alignment horizontal="left" wrapText="1"/>
    </xf>
    <xf numFmtId="0" fontId="2" fillId="3" borderId="2" xfId="0" applyFont="1" applyFill="1" applyBorder="1" applyAlignment="1">
      <alignment wrapText="1"/>
    </xf>
    <xf numFmtId="0" fontId="3" fillId="2" borderId="2" xfId="0" applyFont="1" applyFill="1" applyBorder="1" applyAlignment="1">
      <alignment horizontal="left"/>
    </xf>
    <xf numFmtId="0" fontId="1" fillId="2" borderId="2" xfId="0" applyFont="1" applyFill="1" applyBorder="1" applyAlignment="1">
      <alignment horizontal="left" wrapText="1"/>
    </xf>
    <xf numFmtId="0" fontId="5" fillId="0" borderId="2" xfId="1" applyFont="1" applyBorder="1" applyAlignment="1">
      <alignment vertical="top"/>
    </xf>
    <xf numFmtId="0" fontId="12" fillId="0" borderId="2" xfId="0" applyFont="1" applyBorder="1" applyAlignment="1">
      <alignment vertical="top"/>
    </xf>
    <xf numFmtId="165" fontId="5" fillId="0" borderId="2" xfId="0" applyNumberFormat="1" applyFont="1" applyBorder="1" applyAlignment="1">
      <alignment horizontal="left" vertical="top" wrapText="1"/>
    </xf>
    <xf numFmtId="0" fontId="0" fillId="0" borderId="2" xfId="0" applyBorder="1" applyAlignment="1">
      <alignment horizontal="left" vertical="top" wrapText="1"/>
    </xf>
    <xf numFmtId="0" fontId="5" fillId="0" borderId="3" xfId="1" applyFont="1" applyBorder="1" applyAlignment="1">
      <alignment horizontal="left" vertical="top" wrapText="1"/>
    </xf>
    <xf numFmtId="0" fontId="9" fillId="0" borderId="4" xfId="1" applyBorder="1" applyAlignment="1">
      <alignment horizontal="left" vertical="top" wrapText="1"/>
    </xf>
    <xf numFmtId="0" fontId="9" fillId="0" borderId="5" xfId="1" applyBorder="1" applyAlignment="1">
      <alignment horizontal="left" vertical="top" wrapText="1"/>
    </xf>
    <xf numFmtId="0" fontId="5" fillId="0" borderId="2" xfId="0" applyFont="1" applyBorder="1" applyAlignment="1">
      <alignment horizontal="right" vertical="top" wrapText="1"/>
    </xf>
    <xf numFmtId="0" fontId="5" fillId="4"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6" fillId="3" borderId="2" xfId="0" applyFont="1" applyFill="1" applyBorder="1" applyAlignment="1">
      <alignment horizontal="left" wrapText="1"/>
    </xf>
    <xf numFmtId="0" fontId="0" fillId="0" borderId="2" xfId="0" applyBorder="1" applyAlignment="1">
      <alignment vertical="top"/>
    </xf>
    <xf numFmtId="165" fontId="9" fillId="0" borderId="2" xfId="1" applyNumberFormat="1" applyBorder="1" applyAlignment="1">
      <alignment horizontal="left" vertical="top" wrapText="1"/>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5" fillId="0" borderId="2" xfId="1" applyFont="1" applyBorder="1" applyAlignment="1">
      <alignment horizontal="left" vertical="top" wrapText="1"/>
    </xf>
    <xf numFmtId="0" fontId="5" fillId="0" borderId="2" xfId="1" applyFont="1" applyBorder="1" applyAlignment="1">
      <alignment horizontal="left" vertical="top"/>
    </xf>
    <xf numFmtId="0" fontId="5" fillId="0" borderId="2" xfId="0" applyFont="1" applyBorder="1" applyAlignment="1">
      <alignment horizontal="left" vertical="top"/>
    </xf>
    <xf numFmtId="165" fontId="9" fillId="0" borderId="2" xfId="1" applyNumberFormat="1" applyBorder="1" applyAlignment="1">
      <alignment horizontal="center" vertical="top" wrapText="1"/>
    </xf>
    <xf numFmtId="0" fontId="5" fillId="0" borderId="2" xfId="0" applyFont="1" applyBorder="1" applyAlignment="1">
      <alignment horizontal="center" vertical="top" wrapText="1"/>
    </xf>
    <xf numFmtId="0" fontId="15" fillId="0" borderId="2" xfId="0" applyFont="1" applyBorder="1" applyAlignment="1">
      <alignment horizontal="left" vertical="top" wrapText="1"/>
    </xf>
    <xf numFmtId="0" fontId="0" fillId="0" borderId="2" xfId="0" applyBorder="1" applyAlignment="1">
      <alignment horizontal="left" vertical="top"/>
    </xf>
    <xf numFmtId="0" fontId="2" fillId="3" borderId="2" xfId="0" applyFont="1" applyFill="1" applyBorder="1" applyAlignment="1">
      <alignment vertical="top" wrapText="1"/>
    </xf>
    <xf numFmtId="0" fontId="9" fillId="0" borderId="2" xfId="1" applyBorder="1" applyAlignment="1">
      <alignment horizontal="left" vertical="top" wrapText="1"/>
    </xf>
    <xf numFmtId="0" fontId="5" fillId="0" borderId="4" xfId="1" applyFont="1" applyBorder="1" applyAlignment="1">
      <alignment horizontal="left" vertical="top" wrapText="1"/>
    </xf>
    <xf numFmtId="0" fontId="5" fillId="0" borderId="5" xfId="1"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 fillId="2" borderId="0" xfId="0" applyFont="1" applyFill="1" applyAlignment="1">
      <alignment horizontal="left"/>
    </xf>
    <xf numFmtId="0" fontId="1" fillId="2" borderId="13" xfId="0" applyFont="1" applyFill="1" applyBorder="1" applyAlignment="1">
      <alignment horizontal="left"/>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8" fillId="3" borderId="19"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3" borderId="21" xfId="0" applyFont="1" applyFill="1" applyBorder="1" applyAlignment="1">
      <alignment horizontal="left" vertical="top" wrapText="1"/>
    </xf>
    <xf numFmtId="0" fontId="0" fillId="0" borderId="0" xfId="0" applyAlignment="1">
      <alignment horizontal="left" vertical="top"/>
    </xf>
    <xf numFmtId="0" fontId="5" fillId="0" borderId="3" xfId="1" applyFont="1" applyFill="1" applyBorder="1" applyAlignment="1">
      <alignment horizontal="left" vertical="top" wrapText="1"/>
    </xf>
    <xf numFmtId="165" fontId="9" fillId="0" borderId="14" xfId="1" applyNumberFormat="1" applyFill="1" applyBorder="1" applyAlignment="1">
      <alignment horizontal="center" vertical="top" wrapText="1"/>
    </xf>
    <xf numFmtId="165" fontId="9" fillId="0" borderId="17" xfId="1" applyNumberFormat="1" applyFill="1" applyBorder="1" applyAlignment="1">
      <alignment horizontal="center" vertical="top" wrapText="1"/>
    </xf>
    <xf numFmtId="165" fontId="9" fillId="0" borderId="16" xfId="1" applyNumberFormat="1" applyFill="1" applyBorder="1" applyAlignment="1">
      <alignment horizontal="center" vertical="top" wrapText="1"/>
    </xf>
    <xf numFmtId="165" fontId="5"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2" borderId="6" xfId="0" applyFont="1" applyFill="1" applyBorder="1" applyAlignment="1">
      <alignment horizontal="left"/>
    </xf>
    <xf numFmtId="0" fontId="3" fillId="2" borderId="0" xfId="0" applyFont="1" applyFill="1" applyAlignment="1">
      <alignment horizontal="left"/>
    </xf>
    <xf numFmtId="0" fontId="4" fillId="3" borderId="6" xfId="0" applyFont="1" applyFill="1" applyBorder="1" applyAlignment="1">
      <alignment horizontal="left" vertical="top" wrapText="1"/>
    </xf>
    <xf numFmtId="0" fontId="4" fillId="3" borderId="0" xfId="0" applyFont="1" applyFill="1" applyAlignment="1">
      <alignment horizontal="left" vertical="top" wrapText="1"/>
    </xf>
    <xf numFmtId="0" fontId="4" fillId="3" borderId="13" xfId="0" applyFont="1" applyFill="1" applyBorder="1" applyAlignment="1">
      <alignment horizontal="left" vertical="top" wrapText="1"/>
    </xf>
    <xf numFmtId="0" fontId="1" fillId="2" borderId="6" xfId="0" applyFont="1" applyFill="1" applyBorder="1" applyAlignment="1">
      <alignment horizontal="left"/>
    </xf>
    <xf numFmtId="0" fontId="1" fillId="2" borderId="6" xfId="0" applyFont="1" applyFill="1" applyBorder="1" applyAlignment="1">
      <alignment horizontal="left" wrapText="1"/>
    </xf>
    <xf numFmtId="0" fontId="1" fillId="2" borderId="0" xfId="0" applyFont="1" applyFill="1" applyAlignment="1">
      <alignment horizontal="left"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2" fillId="3" borderId="3"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10" fillId="0" borderId="0" xfId="0" applyFont="1" applyAlignment="1">
      <alignment horizontal="left"/>
    </xf>
    <xf numFmtId="0" fontId="5" fillId="0" borderId="3" xfId="0" applyFont="1" applyBorder="1" applyAlignment="1">
      <alignment horizontal="right" vertical="top" wrapText="1"/>
    </xf>
    <xf numFmtId="0" fontId="5" fillId="0" borderId="5" xfId="0" applyFont="1" applyBorder="1" applyAlignment="1">
      <alignment horizontal="right" vertical="top" wrapText="1"/>
    </xf>
    <xf numFmtId="0" fontId="5" fillId="4" borderId="0" xfId="0" applyFont="1" applyFill="1" applyAlignment="1">
      <alignment horizontal="left" vertical="top" wrapText="1"/>
    </xf>
    <xf numFmtId="0" fontId="5" fillId="4" borderId="13" xfId="0" applyFont="1" applyFill="1" applyBorder="1" applyAlignment="1">
      <alignment horizontal="left" vertical="top" wrapText="1"/>
    </xf>
    <xf numFmtId="0" fontId="2" fillId="3" borderId="19" xfId="0" applyFont="1" applyFill="1" applyBorder="1" applyAlignment="1">
      <alignment wrapText="1"/>
    </xf>
    <xf numFmtId="0" fontId="2" fillId="3" borderId="20" xfId="0" applyFont="1" applyFill="1" applyBorder="1" applyAlignment="1">
      <alignment wrapText="1"/>
    </xf>
    <xf numFmtId="0" fontId="9" fillId="0" borderId="3" xfId="1" applyBorder="1" applyAlignment="1">
      <alignment horizontal="left" vertical="top" wrapText="1"/>
    </xf>
    <xf numFmtId="165" fontId="5" fillId="0" borderId="4" xfId="0" applyNumberFormat="1" applyFont="1" applyBorder="1" applyAlignment="1">
      <alignment horizontal="left" vertical="top" wrapText="1"/>
    </xf>
    <xf numFmtId="165" fontId="9" fillId="0" borderId="3" xfId="1" applyNumberFormat="1" applyBorder="1" applyAlignment="1">
      <alignment horizontal="center" vertical="top" wrapText="1"/>
    </xf>
    <xf numFmtId="165" fontId="9" fillId="0" borderId="4" xfId="1" applyNumberFormat="1" applyBorder="1" applyAlignment="1">
      <alignment horizontal="center" vertical="top" wrapText="1"/>
    </xf>
    <xf numFmtId="165" fontId="9" fillId="0" borderId="5" xfId="1" applyNumberFormat="1" applyBorder="1" applyAlignment="1">
      <alignment horizontal="center" vertical="top"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5" fillId="0" borderId="2" xfId="1" applyFont="1" applyFill="1" applyBorder="1" applyAlignment="1">
      <alignment horizontal="right" vertical="top" wrapText="1"/>
    </xf>
    <xf numFmtId="165" fontId="9" fillId="0" borderId="14" xfId="1" applyNumberFormat="1" applyBorder="1" applyAlignment="1">
      <alignment horizontal="center" vertical="top" wrapText="1"/>
    </xf>
    <xf numFmtId="165" fontId="9" fillId="0" borderId="17" xfId="1" applyNumberFormat="1" applyBorder="1" applyAlignment="1">
      <alignment horizontal="center" vertical="top" wrapText="1"/>
    </xf>
    <xf numFmtId="165" fontId="9" fillId="0" borderId="16" xfId="1" applyNumberFormat="1" applyBorder="1" applyAlignment="1">
      <alignment horizontal="center" vertical="top" wrapText="1"/>
    </xf>
    <xf numFmtId="0" fontId="5" fillId="0" borderId="14" xfId="0" applyFont="1" applyBorder="1" applyAlignment="1">
      <alignment horizontal="center"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5" fillId="4" borderId="14"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6" xfId="0" applyFont="1" applyFill="1" applyBorder="1" applyAlignment="1">
      <alignment horizontal="left" vertical="top" wrapText="1"/>
    </xf>
    <xf numFmtId="0" fontId="1" fillId="2" borderId="17" xfId="0" applyFont="1" applyFill="1" applyBorder="1" applyAlignment="1">
      <alignment horizontal="left"/>
    </xf>
    <xf numFmtId="0" fontId="5" fillId="0" borderId="3" xfId="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9" fillId="0" borderId="2" xfId="1" applyFill="1" applyBorder="1" applyAlignment="1">
      <alignment vertical="top" wrapText="1"/>
    </xf>
    <xf numFmtId="0" fontId="0" fillId="0" borderId="3" xfId="0" applyBorder="1" applyAlignment="1">
      <alignment horizontal="left" vertical="top" wrapText="1"/>
    </xf>
    <xf numFmtId="0" fontId="5" fillId="0" borderId="0" xfId="1" applyFont="1" applyAlignment="1">
      <alignment vertical="top"/>
    </xf>
    <xf numFmtId="0" fontId="5" fillId="0" borderId="0" xfId="0" applyFont="1" applyAlignment="1">
      <alignment vertical="top"/>
    </xf>
    <xf numFmtId="0" fontId="9" fillId="0" borderId="2" xfId="1" applyFill="1" applyBorder="1" applyAlignment="1">
      <alignment horizontal="left" vertical="top" wrapText="1"/>
    </xf>
    <xf numFmtId="0" fontId="5" fillId="0" borderId="2" xfId="1" applyFont="1" applyFill="1" applyBorder="1" applyAlignment="1">
      <alignment horizontal="left" vertical="top"/>
    </xf>
    <xf numFmtId="0" fontId="0" fillId="0" borderId="3" xfId="1" applyFont="1" applyFill="1" applyBorder="1" applyAlignment="1">
      <alignment horizontal="left" vertical="top" wrapText="1"/>
    </xf>
    <xf numFmtId="0" fontId="9" fillId="0" borderId="4" xfId="1" applyFill="1" applyBorder="1" applyAlignment="1">
      <alignment horizontal="left" vertical="top" wrapText="1"/>
    </xf>
    <xf numFmtId="0" fontId="9" fillId="0" borderId="5" xfId="1" applyFill="1" applyBorder="1" applyAlignment="1">
      <alignment horizontal="left" vertical="top" wrapText="1"/>
    </xf>
    <xf numFmtId="0" fontId="5" fillId="0" borderId="2" xfId="1" applyFont="1" applyFill="1" applyBorder="1" applyAlignment="1">
      <alignment horizontal="left" vertical="top" wrapText="1"/>
    </xf>
    <xf numFmtId="0" fontId="12" fillId="0" borderId="2" xfId="1" applyFont="1" applyFill="1" applyBorder="1" applyAlignment="1">
      <alignment horizontal="left" vertical="top"/>
    </xf>
    <xf numFmtId="0" fontId="12" fillId="0" borderId="2" xfId="0" applyFont="1" applyBorder="1" applyAlignment="1">
      <alignment horizontal="left" vertical="top"/>
    </xf>
    <xf numFmtId="0" fontId="5" fillId="0" borderId="2" xfId="1" applyFont="1" applyFill="1" applyBorder="1" applyAlignment="1">
      <alignment wrapText="1"/>
    </xf>
    <xf numFmtId="0" fontId="0" fillId="0" borderId="2" xfId="0" applyBorder="1" applyAlignment="1">
      <alignment wrapText="1"/>
    </xf>
    <xf numFmtId="170" fontId="5" fillId="0" borderId="2" xfId="3" applyNumberFormat="1" applyFont="1" applyBorder="1" applyAlignment="1">
      <alignment horizontal="right" vertical="top" wrapText="1"/>
    </xf>
    <xf numFmtId="0" fontId="9" fillId="0" borderId="3" xfId="1" applyFill="1" applyBorder="1" applyAlignment="1">
      <alignment vertical="top" wrapText="1"/>
    </xf>
    <xf numFmtId="0" fontId="5" fillId="0" borderId="3" xfId="1" applyFont="1" applyFill="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12" fillId="0" borderId="3" xfId="1" applyFont="1" applyFill="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1" fontId="5" fillId="0" borderId="2" xfId="3" applyNumberFormat="1" applyFont="1" applyFill="1" applyBorder="1" applyAlignment="1">
      <alignment horizontal="righ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1" fillId="2" borderId="2" xfId="0" applyFont="1" applyFill="1" applyBorder="1" applyAlignment="1">
      <alignment horizontal="left" vertical="top"/>
    </xf>
    <xf numFmtId="0" fontId="0" fillId="0" borderId="3" xfId="0" applyBorder="1" applyAlignment="1">
      <alignment horizontal="right" vertical="top"/>
    </xf>
    <xf numFmtId="0" fontId="0" fillId="0" borderId="5" xfId="0" applyBorder="1" applyAlignment="1">
      <alignment horizontal="right" vertical="top"/>
    </xf>
    <xf numFmtId="0" fontId="0" fillId="0" borderId="2" xfId="1" applyFont="1" applyFill="1" applyBorder="1" applyAlignment="1">
      <alignment horizontal="left" vertical="top"/>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cellXfs>
  <cellStyles count="4">
    <cellStyle name="Comma" xfId="2" builtinId="3"/>
    <cellStyle name="Hyperlink" xfId="1" builtinId="8"/>
    <cellStyle name="Normal" xfId="0" builtinId="0"/>
    <cellStyle name="Percent" xfId="3" builtinId="5"/>
  </cellStyles>
  <dxfs count="35">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left style="thin">
          <color indexed="64"/>
        </left>
        <right/>
        <top/>
        <bottom/>
        <vertical/>
        <horizontal/>
      </border>
    </dxf>
    <dxf>
      <border outline="0">
        <bottom style="thin">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font>
    </dxf>
    <dxf>
      <border outline="0">
        <bottom style="thin">
          <color indexed="64"/>
        </bottom>
      </border>
    </dxf>
    <dxf>
      <border outline="0">
        <top style="thin">
          <color indexed="64"/>
        </top>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top" textRotation="0" wrapText="1" indent="0" justifyLastLine="0" shrinkToFit="0" readingOrder="0"/>
      <border diagonalUp="0" diagonalDown="0" outline="0">
        <left style="thin">
          <color indexed="64"/>
        </left>
        <right style="thin">
          <color indexed="64"/>
        </right>
        <top/>
        <bottom/>
      </border>
    </dxf>
    <dxf>
      <numFmt numFmtId="2" formatCode="0.00"/>
    </dxf>
    <dxf>
      <font>
        <b/>
      </font>
    </dxf>
    <dxf>
      <fill>
        <patternFill patternType="solid">
          <fgColor rgb="FFD0FBE3"/>
          <bgColor rgb="FF000000"/>
        </patternFill>
      </fill>
    </dxf>
    <dxf>
      <border outline="0">
        <bottom style="thin">
          <color indexed="64"/>
        </bottom>
      </border>
    </dxf>
    <dxf>
      <border outline="0">
        <top style="thin">
          <color indexed="64"/>
        </top>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top" textRotation="0" wrapText="1" indent="0" justifyLastLine="0" shrinkToFit="0" readingOrder="0"/>
      <border diagonalUp="0" diagonalDown="0" outline="0">
        <left style="thin">
          <color indexed="64"/>
        </left>
        <right style="thin">
          <color indexed="64"/>
        </right>
        <top/>
        <bottom/>
      </border>
    </dxf>
    <dxf>
      <numFmt numFmtId="2" formatCode="0.00"/>
    </dxf>
    <dxf>
      <numFmt numFmtId="2" formatCode="0.00"/>
    </dxf>
    <dxf>
      <numFmt numFmtId="2" formatCode="0.00"/>
    </dxf>
    <dxf>
      <font>
        <b/>
      </font>
    </dxf>
    <dxf>
      <fill>
        <patternFill patternType="solid">
          <fgColor rgb="FFD0FBE3"/>
          <bgColor rgb="FF000000"/>
        </patternFill>
      </fill>
    </dxf>
    <dxf>
      <border outline="0">
        <bottom style="thin">
          <color indexed="64"/>
        </bottom>
      </border>
    </dxf>
    <dxf>
      <border outline="0">
        <top style="thin">
          <color indexed="64"/>
        </top>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2E56"/>
      <color rgb="FFD5EBFF"/>
      <color rgb="FF0067C0"/>
      <color rgb="FF2B9CFF"/>
      <color rgb="FFFFE1CC"/>
      <color rgb="FFFEF5D2"/>
      <color rgb="FFD0FBE3"/>
      <color rgb="FF41D9F9"/>
      <color rgb="FFFF670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Ranking kosteneffectiviteit infiltratiemaatregelen (gemiddelde jaarlijkse kost) </a:t>
            </a:r>
            <a:endParaRPr lang="en-BE" sz="1400">
              <a:effectLst/>
            </a:endParaRPr>
          </a:p>
        </c:rich>
      </c:tx>
      <c:overlay val="0"/>
      <c:spPr>
        <a:noFill/>
        <a:ln>
          <a:noFill/>
        </a:ln>
        <a:effectLst/>
      </c:spPr>
    </c:title>
    <c:autoTitleDeleted val="0"/>
    <c:plotArea>
      <c:layout>
        <c:manualLayout>
          <c:layoutTarget val="inner"/>
          <c:xMode val="edge"/>
          <c:yMode val="edge"/>
          <c:x val="6.2281483682464223E-2"/>
          <c:y val="8.830275229357798E-2"/>
          <c:w val="0.92579051805251733"/>
          <c:h val="0.54583482248665416"/>
        </c:manualLayout>
      </c:layout>
      <c:lineChart>
        <c:grouping val="standard"/>
        <c:varyColors val="0"/>
        <c:ser>
          <c:idx val="4"/>
          <c:order val="0"/>
          <c:tx>
            <c:strRef>
              <c:f>'Overzichtsgrafieken &amp; -tabellen'!$C$9</c:f>
              <c:strCache>
                <c:ptCount val="1"/>
                <c:pt idx="0">
                  <c:v>Max. bedrag</c:v>
                </c:pt>
              </c:strCache>
            </c:strRef>
          </c:tx>
          <c:spPr>
            <a:ln w="28575" cap="rnd">
              <a:noFill/>
              <a:round/>
            </a:ln>
            <a:effectLst/>
          </c:spPr>
          <c:marker>
            <c:symbol val="diamond"/>
            <c:size val="6"/>
            <c:spPr>
              <a:solidFill>
                <a:schemeClr val="accent6"/>
              </a:solidFill>
              <a:ln w="9525">
                <a:noFill/>
              </a:ln>
              <a:effectLst/>
            </c:spPr>
          </c:marker>
          <c:dLbls>
            <c:delete val="1"/>
          </c:dLbls>
          <c:cat>
            <c:strRef>
              <c:f>'Overzichtsgrafieken &amp; -tabellen'!$A$10:$A$24</c:f>
              <c:strCache>
                <c:ptCount val="15"/>
                <c:pt idx="0">
                  <c:v>Infiltratiepoel</c:v>
                </c:pt>
                <c:pt idx="1">
                  <c:v>Omvorming naar peilgestuurde drainage</c:v>
                </c:pt>
                <c:pt idx="2">
                  <c:v>Buffer- en infiltratiegracht</c:v>
                </c:pt>
                <c:pt idx="3">
                  <c:v>Stuwtjes</c:v>
                </c:pt>
                <c:pt idx="4">
                  <c:v>Dakgoot afkoppelen</c:v>
                </c:pt>
                <c:pt idx="5">
                  <c:v>Waterdoorlatende verharding (meerkost bij nieuwbouw)</c:v>
                </c:pt>
                <c:pt idx="6">
                  <c:v>Infiltratievelden- en stroken</c:v>
                </c:pt>
                <c:pt idx="7">
                  <c:v>Wadi</c:v>
                </c:pt>
                <c:pt idx="8">
                  <c:v>Infiltratiekoffer</c:v>
                </c:pt>
                <c:pt idx="9">
                  <c:v>Infiltratiekratten</c:v>
                </c:pt>
                <c:pt idx="10">
                  <c:v>Infiltratiekelder</c:v>
                </c:pt>
                <c:pt idx="11">
                  <c:v>Ontharding</c:v>
                </c:pt>
                <c:pt idx="12">
                  <c:v>Infiltratiepaal</c:v>
                </c:pt>
                <c:pt idx="13">
                  <c:v>Infiltratiebuis</c:v>
                </c:pt>
                <c:pt idx="14">
                  <c:v>Waterdoorlatende verharding (totale kost incl. openbreken)</c:v>
                </c:pt>
              </c:strCache>
            </c:strRef>
          </c:cat>
          <c:val>
            <c:numRef>
              <c:f>'Overzichtsgrafieken &amp; -tabellen'!$C$10:$C$24</c:f>
              <c:numCache>
                <c:formatCode>0.00</c:formatCode>
                <c:ptCount val="15"/>
                <c:pt idx="0">
                  <c:v>1.5149707347676532E-2</c:v>
                </c:pt>
                <c:pt idx="1">
                  <c:v>0.23229307722928136</c:v>
                </c:pt>
                <c:pt idx="2">
                  <c:v>0.26683769296983895</c:v>
                </c:pt>
                <c:pt idx="3">
                  <c:v>0.53367538593967789</c:v>
                </c:pt>
                <c:pt idx="4">
                  <c:v>0.22675776643489415</c:v>
                </c:pt>
                <c:pt idx="5">
                  <c:v>0.69036221331965564</c:v>
                </c:pt>
                <c:pt idx="6">
                  <c:v>0.40596318740556736</c:v>
                </c:pt>
                <c:pt idx="7">
                  <c:v>0.54832865620874705</c:v>
                </c:pt>
                <c:pt idx="8">
                  <c:v>0.82493796358441074</c:v>
                </c:pt>
                <c:pt idx="9">
                  <c:v>1.885572488192939</c:v>
                </c:pt>
                <c:pt idx="10">
                  <c:v>3.5354484153617607</c:v>
                </c:pt>
                <c:pt idx="11">
                  <c:v>5.5045720595427952</c:v>
                </c:pt>
                <c:pt idx="12">
                  <c:v>6.1281105866270504</c:v>
                </c:pt>
                <c:pt idx="14">
                  <c:v>19.595588525748518</c:v>
                </c:pt>
              </c:numCache>
            </c:numRef>
          </c:val>
          <c:smooth val="0"/>
          <c:extLst>
            <c:ext xmlns:c16="http://schemas.microsoft.com/office/drawing/2014/chart" uri="{C3380CC4-5D6E-409C-BE32-E72D297353CC}">
              <c16:uniqueId val="{00000008-E45F-42BF-876D-1E06C899F6B7}"/>
            </c:ext>
          </c:extLst>
        </c:ser>
        <c:ser>
          <c:idx val="5"/>
          <c:order val="1"/>
          <c:tx>
            <c:strRef>
              <c:f>'Overzichtsgrafieken &amp; -tabellen'!$D$9</c:f>
              <c:strCache>
                <c:ptCount val="1"/>
                <c:pt idx="0">
                  <c:v>Gem. bedrag</c:v>
                </c:pt>
              </c:strCache>
            </c:strRef>
          </c:tx>
          <c:spPr>
            <a:ln w="28575" cap="rnd">
              <a:noFill/>
              <a:round/>
            </a:ln>
            <a:effectLst/>
          </c:spPr>
          <c:marker>
            <c:symbol val="square"/>
            <c:size val="6"/>
            <c:spPr>
              <a:solidFill>
                <a:schemeClr val="accent4"/>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'Overzichtsgrafieken &amp; -tabellen'!$A$10:$A$24</c:f>
              <c:strCache>
                <c:ptCount val="15"/>
                <c:pt idx="0">
                  <c:v>Infiltratiepoel</c:v>
                </c:pt>
                <c:pt idx="1">
                  <c:v>Omvorming naar peilgestuurde drainage</c:v>
                </c:pt>
                <c:pt idx="2">
                  <c:v>Buffer- en infiltratiegracht</c:v>
                </c:pt>
                <c:pt idx="3">
                  <c:v>Stuwtjes</c:v>
                </c:pt>
                <c:pt idx="4">
                  <c:v>Dakgoot afkoppelen</c:v>
                </c:pt>
                <c:pt idx="5">
                  <c:v>Waterdoorlatende verharding (meerkost bij nieuwbouw)</c:v>
                </c:pt>
                <c:pt idx="6">
                  <c:v>Infiltratievelden- en stroken</c:v>
                </c:pt>
                <c:pt idx="7">
                  <c:v>Wadi</c:v>
                </c:pt>
                <c:pt idx="8">
                  <c:v>Infiltratiekoffer</c:v>
                </c:pt>
                <c:pt idx="9">
                  <c:v>Infiltratiekratten</c:v>
                </c:pt>
                <c:pt idx="10">
                  <c:v>Infiltratiekelder</c:v>
                </c:pt>
                <c:pt idx="11">
                  <c:v>Ontharding</c:v>
                </c:pt>
                <c:pt idx="12">
                  <c:v>Infiltratiepaal</c:v>
                </c:pt>
                <c:pt idx="13">
                  <c:v>Infiltratiebuis</c:v>
                </c:pt>
                <c:pt idx="14">
                  <c:v>Waterdoorlatende verharding (totale kost incl. openbreken)</c:v>
                </c:pt>
              </c:strCache>
            </c:strRef>
          </c:cat>
          <c:val>
            <c:numRef>
              <c:f>'Overzichtsgrafieken &amp; -tabellen'!$D$10:$D$24</c:f>
              <c:numCache>
                <c:formatCode>0.00</c:formatCode>
                <c:ptCount val="15"/>
                <c:pt idx="0">
                  <c:v>1.1864396953369856E-2</c:v>
                </c:pt>
                <c:pt idx="1">
                  <c:v>0.15971238205599131</c:v>
                </c:pt>
                <c:pt idx="2">
                  <c:v>0.20012826972737924</c:v>
                </c:pt>
                <c:pt idx="3">
                  <c:v>0.35578359062645198</c:v>
                </c:pt>
                <c:pt idx="4">
                  <c:v>0.14576072612781363</c:v>
                </c:pt>
                <c:pt idx="5">
                  <c:v>0.28639723780976839</c:v>
                </c:pt>
                <c:pt idx="6">
                  <c:v>0.33960307302119425</c:v>
                </c:pt>
                <c:pt idx="7">
                  <c:v>0.47224454654325199</c:v>
                </c:pt>
                <c:pt idx="8">
                  <c:v>0.58924140256029334</c:v>
                </c:pt>
                <c:pt idx="9">
                  <c:v>1.2374069453766159</c:v>
                </c:pt>
                <c:pt idx="10">
                  <c:v>2.9462070128014668</c:v>
                </c:pt>
                <c:pt idx="11">
                  <c:v>3.2768310549322059</c:v>
                </c:pt>
                <c:pt idx="12">
                  <c:v>3.6356194537970103</c:v>
                </c:pt>
                <c:pt idx="13">
                  <c:v>4.0426674146856607</c:v>
                </c:pt>
                <c:pt idx="14">
                  <c:v>10.412786301941642</c:v>
                </c:pt>
              </c:numCache>
            </c:numRef>
          </c:val>
          <c:smooth val="0"/>
          <c:extLst>
            <c:ext xmlns:c16="http://schemas.microsoft.com/office/drawing/2014/chart" uri="{C3380CC4-5D6E-409C-BE32-E72D297353CC}">
              <c16:uniqueId val="{00000009-E45F-42BF-876D-1E06C899F6B7}"/>
            </c:ext>
          </c:extLst>
        </c:ser>
        <c:ser>
          <c:idx val="0"/>
          <c:order val="2"/>
          <c:tx>
            <c:strRef>
              <c:f>'Overzichtsgrafieken &amp; -tabellen'!$B$9</c:f>
              <c:strCache>
                <c:ptCount val="1"/>
                <c:pt idx="0">
                  <c:v>Min. bedrag</c:v>
                </c:pt>
              </c:strCache>
            </c:strRef>
          </c:tx>
          <c:spPr>
            <a:ln w="28575" cap="rnd">
              <a:noFill/>
              <a:round/>
            </a:ln>
            <a:effectLst/>
          </c:spPr>
          <c:marker>
            <c:symbol val="diamond"/>
            <c:size val="6"/>
            <c:spPr>
              <a:solidFill>
                <a:srgbClr val="002E56"/>
              </a:solidFill>
              <a:ln w="9525">
                <a:solidFill>
                  <a:schemeClr val="accent1"/>
                </a:solidFill>
              </a:ln>
              <a:effectLst/>
            </c:spPr>
          </c:marker>
          <c:dLbls>
            <c:delete val="1"/>
          </c:dLbls>
          <c:cat>
            <c:strRef>
              <c:f>'Overzichtsgrafieken &amp; -tabellen'!$A$10:$A$24</c:f>
              <c:strCache>
                <c:ptCount val="15"/>
                <c:pt idx="0">
                  <c:v>Infiltratiepoel</c:v>
                </c:pt>
                <c:pt idx="1">
                  <c:v>Omvorming naar peilgestuurde drainage</c:v>
                </c:pt>
                <c:pt idx="2">
                  <c:v>Buffer- en infiltratiegracht</c:v>
                </c:pt>
                <c:pt idx="3">
                  <c:v>Stuwtjes</c:v>
                </c:pt>
                <c:pt idx="4">
                  <c:v>Dakgoot afkoppelen</c:v>
                </c:pt>
                <c:pt idx="5">
                  <c:v>Waterdoorlatende verharding (meerkost bij nieuwbouw)</c:v>
                </c:pt>
                <c:pt idx="6">
                  <c:v>Infiltratievelden- en stroken</c:v>
                </c:pt>
                <c:pt idx="7">
                  <c:v>Wadi</c:v>
                </c:pt>
                <c:pt idx="8">
                  <c:v>Infiltratiekoffer</c:v>
                </c:pt>
                <c:pt idx="9">
                  <c:v>Infiltratiekratten</c:v>
                </c:pt>
                <c:pt idx="10">
                  <c:v>Infiltratiekelder</c:v>
                </c:pt>
                <c:pt idx="11">
                  <c:v>Ontharding</c:v>
                </c:pt>
                <c:pt idx="12">
                  <c:v>Infiltratiepaal</c:v>
                </c:pt>
                <c:pt idx="13">
                  <c:v>Infiltratiebuis</c:v>
                </c:pt>
                <c:pt idx="14">
                  <c:v>Waterdoorlatende verharding (totale kost incl. openbreken)</c:v>
                </c:pt>
              </c:strCache>
            </c:strRef>
          </c:cat>
          <c:val>
            <c:numRef>
              <c:f>'Overzichtsgrafieken &amp; -tabellen'!$B$10:$B$24</c:f>
              <c:numCache>
                <c:formatCode>0.00</c:formatCode>
                <c:ptCount val="15"/>
                <c:pt idx="0">
                  <c:v>8.5790865590631843E-3</c:v>
                </c:pt>
                <c:pt idx="1">
                  <c:v>8.7131686882701204E-2</c:v>
                </c:pt>
                <c:pt idx="2">
                  <c:v>0.13341884648491947</c:v>
                </c:pt>
                <c:pt idx="3">
                  <c:v>0.17789179531322599</c:v>
                </c:pt>
                <c:pt idx="4">
                  <c:v>0.10408496136608118</c:v>
                </c:pt>
                <c:pt idx="5">
                  <c:v>0</c:v>
                </c:pt>
                <c:pt idx="6">
                  <c:v>0.27324295863682119</c:v>
                </c:pt>
                <c:pt idx="7">
                  <c:v>0.39616043687775698</c:v>
                </c:pt>
                <c:pt idx="8">
                  <c:v>0.35354484153617599</c:v>
                </c:pt>
                <c:pt idx="9">
                  <c:v>0.58924140256029334</c:v>
                </c:pt>
                <c:pt idx="10">
                  <c:v>1.7677242076808803</c:v>
                </c:pt>
                <c:pt idx="11">
                  <c:v>1.0490900503216176</c:v>
                </c:pt>
                <c:pt idx="12">
                  <c:v>1.1431283209669691</c:v>
                </c:pt>
                <c:pt idx="14">
                  <c:v>3.3349356746613781</c:v>
                </c:pt>
              </c:numCache>
            </c:numRef>
          </c:val>
          <c:smooth val="0"/>
          <c:extLst>
            <c:ext xmlns:c16="http://schemas.microsoft.com/office/drawing/2014/chart" uri="{C3380CC4-5D6E-409C-BE32-E72D297353CC}">
              <c16:uniqueId val="{00000002-E45F-42BF-876D-1E06C899F6B7}"/>
            </c:ext>
          </c:extLst>
        </c:ser>
        <c:ser>
          <c:idx val="1"/>
          <c:order val="3"/>
          <c:tx>
            <c:strRef>
              <c:f>'Overzichtsgrafieken &amp; -tabellen'!$C$9</c:f>
              <c:strCache>
                <c:ptCount val="1"/>
                <c:pt idx="0">
                  <c:v>Max. bedrag</c:v>
                </c:pt>
              </c:strCache>
            </c:strRef>
          </c:tx>
          <c:spPr>
            <a:ln w="19050">
              <a:noFill/>
            </a:ln>
          </c:spPr>
          <c:marker>
            <c:symbol val="diamond"/>
            <c:size val="6"/>
            <c:spPr>
              <a:solidFill>
                <a:srgbClr val="FF6700"/>
              </a:solidFill>
              <a:ln w="9525">
                <a:noFill/>
              </a:ln>
              <a:effectLst/>
            </c:spPr>
          </c:marker>
          <c:dLbls>
            <c:delete val="1"/>
          </c:dLbls>
          <c:cat>
            <c:strRef>
              <c:f>'Overzichtsgrafieken &amp; -tabellen'!$A$10:$A$24</c:f>
              <c:strCache>
                <c:ptCount val="15"/>
                <c:pt idx="0">
                  <c:v>Infiltratiepoel</c:v>
                </c:pt>
                <c:pt idx="1">
                  <c:v>Omvorming naar peilgestuurde drainage</c:v>
                </c:pt>
                <c:pt idx="2">
                  <c:v>Buffer- en infiltratiegracht</c:v>
                </c:pt>
                <c:pt idx="3">
                  <c:v>Stuwtjes</c:v>
                </c:pt>
                <c:pt idx="4">
                  <c:v>Dakgoot afkoppelen</c:v>
                </c:pt>
                <c:pt idx="5">
                  <c:v>Waterdoorlatende verharding (meerkost bij nieuwbouw)</c:v>
                </c:pt>
                <c:pt idx="6">
                  <c:v>Infiltratievelden- en stroken</c:v>
                </c:pt>
                <c:pt idx="7">
                  <c:v>Wadi</c:v>
                </c:pt>
                <c:pt idx="8">
                  <c:v>Infiltratiekoffer</c:v>
                </c:pt>
                <c:pt idx="9">
                  <c:v>Infiltratiekratten</c:v>
                </c:pt>
                <c:pt idx="10">
                  <c:v>Infiltratiekelder</c:v>
                </c:pt>
                <c:pt idx="11">
                  <c:v>Ontharding</c:v>
                </c:pt>
                <c:pt idx="12">
                  <c:v>Infiltratiepaal</c:v>
                </c:pt>
                <c:pt idx="13">
                  <c:v>Infiltratiebuis</c:v>
                </c:pt>
                <c:pt idx="14">
                  <c:v>Waterdoorlatende verharding (totale kost incl. openbreken)</c:v>
                </c:pt>
              </c:strCache>
            </c:strRef>
          </c:cat>
          <c:val>
            <c:numRef>
              <c:f>'Overzichtsgrafieken &amp; -tabellen'!$C$10:$C$24</c:f>
              <c:numCache>
                <c:formatCode>0.00</c:formatCode>
                <c:ptCount val="15"/>
                <c:pt idx="0">
                  <c:v>1.5149707347676532E-2</c:v>
                </c:pt>
                <c:pt idx="1">
                  <c:v>0.23229307722928136</c:v>
                </c:pt>
                <c:pt idx="2">
                  <c:v>0.26683769296983895</c:v>
                </c:pt>
                <c:pt idx="3">
                  <c:v>0.53367538593967789</c:v>
                </c:pt>
                <c:pt idx="4">
                  <c:v>0.22675776643489415</c:v>
                </c:pt>
                <c:pt idx="5">
                  <c:v>0.69036221331965564</c:v>
                </c:pt>
                <c:pt idx="6">
                  <c:v>0.40596318740556736</c:v>
                </c:pt>
                <c:pt idx="7">
                  <c:v>0.54832865620874705</c:v>
                </c:pt>
                <c:pt idx="8">
                  <c:v>0.82493796358441074</c:v>
                </c:pt>
                <c:pt idx="9">
                  <c:v>1.885572488192939</c:v>
                </c:pt>
                <c:pt idx="10">
                  <c:v>3.5354484153617607</c:v>
                </c:pt>
                <c:pt idx="11">
                  <c:v>5.5045720595427952</c:v>
                </c:pt>
                <c:pt idx="12">
                  <c:v>6.1281105866270504</c:v>
                </c:pt>
                <c:pt idx="14">
                  <c:v>19.595588525748518</c:v>
                </c:pt>
              </c:numCache>
            </c:numRef>
          </c:val>
          <c:smooth val="0"/>
          <c:extLst>
            <c:ext xmlns:c16="http://schemas.microsoft.com/office/drawing/2014/chart" uri="{C3380CC4-5D6E-409C-BE32-E72D297353CC}">
              <c16:uniqueId val="{00000004-E45F-42BF-876D-1E06C899F6B7}"/>
            </c:ext>
          </c:extLst>
        </c:ser>
        <c:ser>
          <c:idx val="2"/>
          <c:order val="4"/>
          <c:tx>
            <c:strRef>
              <c:f>'Overzichtsgrafieken &amp; -tabellen'!$D$9</c:f>
              <c:strCache>
                <c:ptCount val="1"/>
                <c:pt idx="0">
                  <c:v>Gem. bedrag</c:v>
                </c:pt>
              </c:strCache>
            </c:strRef>
          </c:tx>
          <c:spPr>
            <a:ln w="19050">
              <a:noFill/>
            </a:ln>
          </c:spPr>
          <c:marker>
            <c:symbol val="square"/>
            <c:size val="6"/>
            <c:spPr>
              <a:solidFill>
                <a:srgbClr val="41D9F9"/>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'Overzichtsgrafieken &amp; -tabellen'!$A$10:$A$24</c:f>
              <c:strCache>
                <c:ptCount val="15"/>
                <c:pt idx="0">
                  <c:v>Infiltratiepoel</c:v>
                </c:pt>
                <c:pt idx="1">
                  <c:v>Omvorming naar peilgestuurde drainage</c:v>
                </c:pt>
                <c:pt idx="2">
                  <c:v>Buffer- en infiltratiegracht</c:v>
                </c:pt>
                <c:pt idx="3">
                  <c:v>Stuwtjes</c:v>
                </c:pt>
                <c:pt idx="4">
                  <c:v>Dakgoot afkoppelen</c:v>
                </c:pt>
                <c:pt idx="5">
                  <c:v>Waterdoorlatende verharding (meerkost bij nieuwbouw)</c:v>
                </c:pt>
                <c:pt idx="6">
                  <c:v>Infiltratievelden- en stroken</c:v>
                </c:pt>
                <c:pt idx="7">
                  <c:v>Wadi</c:v>
                </c:pt>
                <c:pt idx="8">
                  <c:v>Infiltratiekoffer</c:v>
                </c:pt>
                <c:pt idx="9">
                  <c:v>Infiltratiekratten</c:v>
                </c:pt>
                <c:pt idx="10">
                  <c:v>Infiltratiekelder</c:v>
                </c:pt>
                <c:pt idx="11">
                  <c:v>Ontharding</c:v>
                </c:pt>
                <c:pt idx="12">
                  <c:v>Infiltratiepaal</c:v>
                </c:pt>
                <c:pt idx="13">
                  <c:v>Infiltratiebuis</c:v>
                </c:pt>
                <c:pt idx="14">
                  <c:v>Waterdoorlatende verharding (totale kost incl. openbreken)</c:v>
                </c:pt>
              </c:strCache>
            </c:strRef>
          </c:cat>
          <c:val>
            <c:numRef>
              <c:f>'Overzichtsgrafieken &amp; -tabellen'!$D$10:$D$24</c:f>
              <c:numCache>
                <c:formatCode>0.00</c:formatCode>
                <c:ptCount val="15"/>
                <c:pt idx="0">
                  <c:v>1.1864396953369856E-2</c:v>
                </c:pt>
                <c:pt idx="1">
                  <c:v>0.15971238205599131</c:v>
                </c:pt>
                <c:pt idx="2">
                  <c:v>0.20012826972737924</c:v>
                </c:pt>
                <c:pt idx="3">
                  <c:v>0.35578359062645198</c:v>
                </c:pt>
                <c:pt idx="4">
                  <c:v>0.14576072612781363</c:v>
                </c:pt>
                <c:pt idx="5">
                  <c:v>0.28639723780976839</c:v>
                </c:pt>
                <c:pt idx="6">
                  <c:v>0.33960307302119425</c:v>
                </c:pt>
                <c:pt idx="7">
                  <c:v>0.47224454654325199</c:v>
                </c:pt>
                <c:pt idx="8">
                  <c:v>0.58924140256029334</c:v>
                </c:pt>
                <c:pt idx="9">
                  <c:v>1.2374069453766159</c:v>
                </c:pt>
                <c:pt idx="10">
                  <c:v>2.9462070128014668</c:v>
                </c:pt>
                <c:pt idx="11">
                  <c:v>3.2768310549322059</c:v>
                </c:pt>
                <c:pt idx="12">
                  <c:v>3.6356194537970103</c:v>
                </c:pt>
                <c:pt idx="13">
                  <c:v>4.0426674146856607</c:v>
                </c:pt>
                <c:pt idx="14">
                  <c:v>10.412786301941642</c:v>
                </c:pt>
              </c:numCache>
            </c:numRef>
          </c:val>
          <c:smooth val="0"/>
          <c:extLst>
            <c:ext xmlns:c16="http://schemas.microsoft.com/office/drawing/2014/chart" uri="{C3380CC4-5D6E-409C-BE32-E72D297353CC}">
              <c16:uniqueId val="{00000006-E45F-42BF-876D-1E06C899F6B7}"/>
            </c:ext>
          </c:extLst>
        </c:ser>
        <c:dLbls>
          <c:dLblPos val="r"/>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828870496"/>
        <c:axId val="920608768"/>
      </c:lineChart>
      <c:catAx>
        <c:axId val="8288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608768"/>
        <c:crosses val="autoZero"/>
        <c:auto val="1"/>
        <c:lblAlgn val="ctr"/>
        <c:lblOffset val="100"/>
        <c:noMultiLvlLbl val="0"/>
      </c:catAx>
      <c:valAx>
        <c:axId val="92060876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EUR/m3 water geïnfiltreerd</a:t>
                </a:r>
              </a:p>
              <a:p>
                <a:pPr>
                  <a:defRPr sz="1000" b="0" i="0" u="none" strike="noStrike" kern="1200" baseline="0">
                    <a:solidFill>
                      <a:schemeClr val="tx1">
                        <a:lumMod val="65000"/>
                        <a:lumOff val="35000"/>
                      </a:schemeClr>
                    </a:solidFill>
                    <a:latin typeface="+mn-lt"/>
                    <a:ea typeface="+mn-ea"/>
                    <a:cs typeface="+mn-cs"/>
                  </a:defRPr>
                </a:pPr>
                <a:endParaRPr lang="en-US"/>
              </a:p>
            </c:rich>
          </c:tx>
          <c:layout>
            <c:manualLayout>
              <c:xMode val="edge"/>
              <c:yMode val="edge"/>
              <c:x val="1.3017695405443938E-2"/>
              <c:y val="0.3019264219051002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28870496"/>
        <c:crosses val="autoZero"/>
        <c:crossBetween val="between"/>
        <c:majorUnit val="1"/>
      </c:valAx>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solidFill>
        <a:schemeClr val="bg2">
          <a:lumMod val="90000"/>
        </a:schemeClr>
      </a:solidFill>
    </a:ln>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Ranking Kosteneffectiviteit Bufferingsmaatregelen (jaarlijkse kost / m3 water gebufferd)</a:t>
            </a:r>
            <a:endParaRPr lang="en-BE"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5.1314044728783904E-2"/>
          <c:y val="0.10000515276990549"/>
          <c:w val="0.90689009973542489"/>
          <c:h val="0.57952094795410725"/>
        </c:manualLayout>
      </c:layout>
      <c:lineChart>
        <c:grouping val="standard"/>
        <c:varyColors val="0"/>
        <c:ser>
          <c:idx val="0"/>
          <c:order val="0"/>
          <c:tx>
            <c:strRef>
              <c:f>'Overzichtsgrafieken &amp; -tabellen'!$B$41</c:f>
              <c:strCache>
                <c:ptCount val="1"/>
                <c:pt idx="0">
                  <c:v>Min. bedrag</c:v>
                </c:pt>
              </c:strCache>
            </c:strRef>
          </c:tx>
          <c:spPr>
            <a:ln w="28575" cap="rnd">
              <a:noFill/>
              <a:round/>
            </a:ln>
            <a:effectLst/>
          </c:spPr>
          <c:marker>
            <c:symbol val="diamond"/>
            <c:size val="6"/>
            <c:spPr>
              <a:solidFill>
                <a:srgbClr val="002E56"/>
              </a:solidFill>
              <a:ln w="9525">
                <a:noFill/>
              </a:ln>
              <a:effectLst/>
            </c:spPr>
          </c:marker>
          <c:dLbls>
            <c:delete val="1"/>
          </c:dLbls>
          <c:cat>
            <c:strRef>
              <c:f>'Overzichtsgrafieken &amp; -tabellen'!$A$42:$A$57</c:f>
              <c:strCache>
                <c:ptCount val="16"/>
                <c:pt idx="0">
                  <c:v>Omvorming naar peilgestuurde drainage</c:v>
                </c:pt>
                <c:pt idx="1">
                  <c:v>Biodam</c:v>
                </c:pt>
                <c:pt idx="2">
                  <c:v>Stuwtjes</c:v>
                </c:pt>
                <c:pt idx="3">
                  <c:v>Infiltratiepoel</c:v>
                </c:pt>
                <c:pt idx="4">
                  <c:v>Buffer- en infiltratiegracht</c:v>
                </c:pt>
                <c:pt idx="5">
                  <c:v>Grasbufferstrook</c:v>
                </c:pt>
                <c:pt idx="6">
                  <c:v>Koolstofgehalte verhogen</c:v>
                </c:pt>
                <c:pt idx="7">
                  <c:v>Infiltratievelden- en stroken</c:v>
                </c:pt>
                <c:pt idx="8">
                  <c:v>Wadi</c:v>
                </c:pt>
                <c:pt idx="9">
                  <c:v>Infiltratiekoffer</c:v>
                </c:pt>
                <c:pt idx="10">
                  <c:v>Infiltratiekratten</c:v>
                </c:pt>
                <c:pt idx="11">
                  <c:v>Hemelwaterput (hh)</c:v>
                </c:pt>
                <c:pt idx="12">
                  <c:v>Hemelwaterput (industrie)</c:v>
                </c:pt>
                <c:pt idx="13">
                  <c:v>Infiltratiekelder</c:v>
                </c:pt>
                <c:pt idx="14">
                  <c:v>Infiltratiepaal</c:v>
                </c:pt>
                <c:pt idx="15">
                  <c:v>Infiltratiebuis</c:v>
                </c:pt>
              </c:strCache>
            </c:strRef>
          </c:cat>
          <c:val>
            <c:numRef>
              <c:f>'Overzichtsgrafieken &amp; -tabellen'!$B$42:$B$57</c:f>
              <c:numCache>
                <c:formatCode>0.000</c:formatCode>
                <c:ptCount val="16"/>
                <c:pt idx="0">
                  <c:v>8.7131686882701204E-2</c:v>
                </c:pt>
                <c:pt idx="1">
                  <c:v>3.4183427105182899E-2</c:v>
                </c:pt>
                <c:pt idx="2" formatCode="0.0000">
                  <c:v>0.45540299600185852</c:v>
                </c:pt>
                <c:pt idx="3" formatCode="0.00">
                  <c:v>0.6731217774666538</c:v>
                </c:pt>
                <c:pt idx="4" formatCode="0.00">
                  <c:v>1.0673507718793558</c:v>
                </c:pt>
                <c:pt idx="5">
                  <c:v>0.98961415852560941</c:v>
                </c:pt>
                <c:pt idx="7" formatCode="0.00">
                  <c:v>4.8724668659922283</c:v>
                </c:pt>
                <c:pt idx="8" formatCode="0.00">
                  <c:v>7.0296744915811935</c:v>
                </c:pt>
                <c:pt idx="9" formatCode="0.00">
                  <c:v>6.2734814555544851</c:v>
                </c:pt>
                <c:pt idx="10" formatCode="0.00">
                  <c:v>10.455802425924141</c:v>
                </c:pt>
                <c:pt idx="11" formatCode="0.00">
                  <c:v>9.2597329187466215</c:v>
                </c:pt>
                <c:pt idx="13" formatCode="0.00">
                  <c:v>31.367407277772429</c:v>
                </c:pt>
                <c:pt idx="14" formatCode="0.00">
                  <c:v>20.284256706292837</c:v>
                </c:pt>
              </c:numCache>
            </c:numRef>
          </c:val>
          <c:smooth val="0"/>
          <c:extLst>
            <c:ext xmlns:c16="http://schemas.microsoft.com/office/drawing/2014/chart" uri="{C3380CC4-5D6E-409C-BE32-E72D297353CC}">
              <c16:uniqueId val="{00000000-E947-42EF-A2F8-1CEEB102CA51}"/>
            </c:ext>
          </c:extLst>
        </c:ser>
        <c:ser>
          <c:idx val="1"/>
          <c:order val="1"/>
          <c:tx>
            <c:strRef>
              <c:f>'Overzichtsgrafieken &amp; -tabellen'!$C$41</c:f>
              <c:strCache>
                <c:ptCount val="1"/>
                <c:pt idx="0">
                  <c:v>Max. bedrag</c:v>
                </c:pt>
              </c:strCache>
            </c:strRef>
          </c:tx>
          <c:spPr>
            <a:ln w="28575" cap="rnd">
              <a:noFill/>
              <a:round/>
            </a:ln>
            <a:effectLst/>
          </c:spPr>
          <c:marker>
            <c:symbol val="diamond"/>
            <c:size val="6"/>
            <c:spPr>
              <a:solidFill>
                <a:srgbClr val="FF6700"/>
              </a:solidFill>
              <a:ln w="9525">
                <a:noFill/>
              </a:ln>
              <a:effectLst/>
            </c:spPr>
          </c:marker>
          <c:dLbls>
            <c:delete val="1"/>
          </c:dLbls>
          <c:cat>
            <c:strRef>
              <c:f>'Overzichtsgrafieken &amp; -tabellen'!$A$42:$A$57</c:f>
              <c:strCache>
                <c:ptCount val="16"/>
                <c:pt idx="0">
                  <c:v>Omvorming naar peilgestuurde drainage</c:v>
                </c:pt>
                <c:pt idx="1">
                  <c:v>Biodam</c:v>
                </c:pt>
                <c:pt idx="2">
                  <c:v>Stuwtjes</c:v>
                </c:pt>
                <c:pt idx="3">
                  <c:v>Infiltratiepoel</c:v>
                </c:pt>
                <c:pt idx="4">
                  <c:v>Buffer- en infiltratiegracht</c:v>
                </c:pt>
                <c:pt idx="5">
                  <c:v>Grasbufferstrook</c:v>
                </c:pt>
                <c:pt idx="6">
                  <c:v>Koolstofgehalte verhogen</c:v>
                </c:pt>
                <c:pt idx="7">
                  <c:v>Infiltratievelden- en stroken</c:v>
                </c:pt>
                <c:pt idx="8">
                  <c:v>Wadi</c:v>
                </c:pt>
                <c:pt idx="9">
                  <c:v>Infiltratiekoffer</c:v>
                </c:pt>
                <c:pt idx="10">
                  <c:v>Infiltratiekratten</c:v>
                </c:pt>
                <c:pt idx="11">
                  <c:v>Hemelwaterput (hh)</c:v>
                </c:pt>
                <c:pt idx="12">
                  <c:v>Hemelwaterput (industrie)</c:v>
                </c:pt>
                <c:pt idx="13">
                  <c:v>Infiltratiekelder</c:v>
                </c:pt>
                <c:pt idx="14">
                  <c:v>Infiltratiepaal</c:v>
                </c:pt>
                <c:pt idx="15">
                  <c:v>Infiltratiebuis</c:v>
                </c:pt>
              </c:strCache>
            </c:strRef>
          </c:cat>
          <c:val>
            <c:numRef>
              <c:f>'Overzichtsgrafieken &amp; -tabellen'!$C$42:$C$57</c:f>
              <c:numCache>
                <c:formatCode>0.000</c:formatCode>
                <c:ptCount val="16"/>
                <c:pt idx="0">
                  <c:v>0.23229307722928136</c:v>
                </c:pt>
                <c:pt idx="1">
                  <c:v>1.2781878516444358</c:v>
                </c:pt>
                <c:pt idx="2" formatCode="0.0000">
                  <c:v>1.3662089880055754</c:v>
                </c:pt>
                <c:pt idx="3" formatCode="0.00">
                  <c:v>1.1886577746665383</c:v>
                </c:pt>
                <c:pt idx="4" formatCode="0.00">
                  <c:v>2.1347015437587116</c:v>
                </c:pt>
                <c:pt idx="5">
                  <c:v>2.9688424755768286</c:v>
                </c:pt>
                <c:pt idx="7" formatCode="0.00">
                  <c:v>7.2391332216370863</c:v>
                </c:pt>
                <c:pt idx="8" formatCode="0.00">
                  <c:v>9.7298256179554485</c:v>
                </c:pt>
                <c:pt idx="9" formatCode="0.00">
                  <c:v>14.6381233962938</c:v>
                </c:pt>
                <c:pt idx="10" formatCode="0.00">
                  <c:v>33.458567762957259</c:v>
                </c:pt>
                <c:pt idx="11" formatCode="0.00">
                  <c:v>52.62819772746959</c:v>
                </c:pt>
                <c:pt idx="13" formatCode="0.00">
                  <c:v>62.734814555544858</c:v>
                </c:pt>
                <c:pt idx="14" formatCode="0.00">
                  <c:v>108.74034522961107</c:v>
                </c:pt>
              </c:numCache>
            </c:numRef>
          </c:val>
          <c:smooth val="0"/>
          <c:extLst>
            <c:ext xmlns:c16="http://schemas.microsoft.com/office/drawing/2014/chart" uri="{C3380CC4-5D6E-409C-BE32-E72D297353CC}">
              <c16:uniqueId val="{00000001-E947-42EF-A2F8-1CEEB102CA51}"/>
            </c:ext>
          </c:extLst>
        </c:ser>
        <c:ser>
          <c:idx val="2"/>
          <c:order val="2"/>
          <c:tx>
            <c:strRef>
              <c:f>'Overzichtsgrafieken &amp; -tabellen'!$D$41</c:f>
              <c:strCache>
                <c:ptCount val="1"/>
                <c:pt idx="0">
                  <c:v>Gem. bedrag</c:v>
                </c:pt>
              </c:strCache>
            </c:strRef>
          </c:tx>
          <c:spPr>
            <a:ln w="28575" cap="rnd">
              <a:noFill/>
              <a:round/>
            </a:ln>
            <a:effectLst/>
          </c:spPr>
          <c:marker>
            <c:symbol val="square"/>
            <c:size val="7"/>
            <c:spPr>
              <a:solidFill>
                <a:srgbClr val="41D9F9"/>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'Overzichtsgrafieken &amp; -tabellen'!$A$42:$A$57</c:f>
              <c:strCache>
                <c:ptCount val="16"/>
                <c:pt idx="0">
                  <c:v>Omvorming naar peilgestuurde drainage</c:v>
                </c:pt>
                <c:pt idx="1">
                  <c:v>Biodam</c:v>
                </c:pt>
                <c:pt idx="2">
                  <c:v>Stuwtjes</c:v>
                </c:pt>
                <c:pt idx="3">
                  <c:v>Infiltratiepoel</c:v>
                </c:pt>
                <c:pt idx="4">
                  <c:v>Buffer- en infiltratiegracht</c:v>
                </c:pt>
                <c:pt idx="5">
                  <c:v>Grasbufferstrook</c:v>
                </c:pt>
                <c:pt idx="6">
                  <c:v>Koolstofgehalte verhogen</c:v>
                </c:pt>
                <c:pt idx="7">
                  <c:v>Infiltratievelden- en stroken</c:v>
                </c:pt>
                <c:pt idx="8">
                  <c:v>Wadi</c:v>
                </c:pt>
                <c:pt idx="9">
                  <c:v>Infiltratiekoffer</c:v>
                </c:pt>
                <c:pt idx="10">
                  <c:v>Infiltratiekratten</c:v>
                </c:pt>
                <c:pt idx="11">
                  <c:v>Hemelwaterput (hh)</c:v>
                </c:pt>
                <c:pt idx="12">
                  <c:v>Hemelwaterput (industrie)</c:v>
                </c:pt>
                <c:pt idx="13">
                  <c:v>Infiltratiekelder</c:v>
                </c:pt>
                <c:pt idx="14">
                  <c:v>Infiltratiepaal</c:v>
                </c:pt>
                <c:pt idx="15">
                  <c:v>Infiltratiebuis</c:v>
                </c:pt>
              </c:strCache>
            </c:strRef>
          </c:cat>
          <c:val>
            <c:numRef>
              <c:f>'Overzichtsgrafieken &amp; -tabellen'!$D$42:$D$57</c:f>
              <c:numCache>
                <c:formatCode>0.000</c:formatCode>
                <c:ptCount val="16"/>
                <c:pt idx="0">
                  <c:v>0.15971238205599131</c:v>
                </c:pt>
                <c:pt idx="1">
                  <c:v>0.65618563937480945</c:v>
                </c:pt>
                <c:pt idx="2" formatCode="0.0000">
                  <c:v>0.91080599200371704</c:v>
                </c:pt>
                <c:pt idx="3" formatCode="0.00">
                  <c:v>0.93088977606659595</c:v>
                </c:pt>
                <c:pt idx="4" formatCode="0.00">
                  <c:v>1.6010261578190339</c:v>
                </c:pt>
                <c:pt idx="5">
                  <c:v>1.9792283170512188</c:v>
                </c:pt>
                <c:pt idx="6" formatCode="0.00">
                  <c:v>21.525811090130098</c:v>
                </c:pt>
                <c:pt idx="7" formatCode="0.00">
                  <c:v>6.0558000438146573</c:v>
                </c:pt>
                <c:pt idx="8" formatCode="0.00">
                  <c:v>8.379750054768321</c:v>
                </c:pt>
                <c:pt idx="9" formatCode="0.00">
                  <c:v>10.455802425924141</c:v>
                </c:pt>
                <c:pt idx="10" formatCode="0.00">
                  <c:v>21.957185094440696</c:v>
                </c:pt>
                <c:pt idx="11" formatCode="0.00">
                  <c:v>28.73599642126165</c:v>
                </c:pt>
                <c:pt idx="12" formatCode="0.00">
                  <c:v>39.589096900317564</c:v>
                </c:pt>
                <c:pt idx="13" formatCode="0.00">
                  <c:v>52.27901212962071</c:v>
                </c:pt>
                <c:pt idx="14" formatCode="0.00">
                  <c:v>64.512300967951958</c:v>
                </c:pt>
                <c:pt idx="15" formatCode="0.00">
                  <c:v>71.735169283780351</c:v>
                </c:pt>
              </c:numCache>
            </c:numRef>
          </c:val>
          <c:smooth val="0"/>
          <c:extLst>
            <c:ext xmlns:c16="http://schemas.microsoft.com/office/drawing/2014/chart" uri="{C3380CC4-5D6E-409C-BE32-E72D297353CC}">
              <c16:uniqueId val="{00000002-E947-42EF-A2F8-1CEEB102CA51}"/>
            </c:ext>
          </c:extLst>
        </c:ser>
        <c:dLbls>
          <c:dLblPos val="r"/>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828875296"/>
        <c:axId val="820677520"/>
      </c:lineChart>
      <c:catAx>
        <c:axId val="8288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677520"/>
        <c:crosses val="autoZero"/>
        <c:auto val="1"/>
        <c:lblAlgn val="ctr"/>
        <c:lblOffset val="100"/>
        <c:noMultiLvlLbl val="0"/>
      </c:catAx>
      <c:valAx>
        <c:axId val="820677520"/>
        <c:scaling>
          <c:orientation val="minMax"/>
          <c:max val="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EUR/m3 water buffercapaciteit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288752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Ranking kosteneffectiviteit</a:t>
            </a:r>
            <a:r>
              <a:rPr lang="en-US" sz="1400" baseline="0"/>
              <a:t> waterbesparende maatregelen (jaarlijkse kost /m3 water bespaard)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'Overzichtsgrafieken &amp; -tabellen'!$B$72</c:f>
              <c:strCache>
                <c:ptCount val="1"/>
                <c:pt idx="0">
                  <c:v>Min. bedrag</c:v>
                </c:pt>
              </c:strCache>
            </c:strRef>
          </c:tx>
          <c:spPr>
            <a:ln w="28575" cap="rnd">
              <a:noFill/>
              <a:round/>
            </a:ln>
            <a:effectLst/>
          </c:spPr>
          <c:marker>
            <c:symbol val="diamond"/>
            <c:size val="5"/>
            <c:spPr>
              <a:solidFill>
                <a:srgbClr val="002E56"/>
              </a:solidFill>
              <a:ln w="9525">
                <a:solidFill>
                  <a:schemeClr val="accent1"/>
                </a:solidFill>
              </a:ln>
              <a:effectLst/>
            </c:spPr>
          </c:marker>
          <c:dLbls>
            <c:delete val="1"/>
          </c:dLbls>
          <c:cat>
            <c:strRef>
              <c:f>'Overzichtsgrafieken &amp; -tabellen'!$A$73:$A$81</c:f>
              <c:strCache>
                <c:ptCount val="9"/>
                <c:pt idx="0">
                  <c:v>Terugpompen sluizen</c:v>
                </c:pt>
                <c:pt idx="1">
                  <c:v>Omvorming naar peilgestuurde drainage</c:v>
                </c:pt>
                <c:pt idx="2">
                  <c:v>Spaarbekken</c:v>
                </c:pt>
                <c:pt idx="3">
                  <c:v>Waterhergebruik hoge kwaliteit</c:v>
                </c:pt>
                <c:pt idx="4">
                  <c:v>Wateraudit</c:v>
                </c:pt>
                <c:pt idx="5">
                  <c:v>Waterhergebruik lage kwaliteit</c:v>
                </c:pt>
                <c:pt idx="6">
                  <c:v>Hemelwaterputten (industrie)</c:v>
                </c:pt>
                <c:pt idx="7">
                  <c:v>Druppelirrigatie</c:v>
                </c:pt>
                <c:pt idx="8">
                  <c:v>Hemelwaterputten (hh)</c:v>
                </c:pt>
              </c:strCache>
            </c:strRef>
          </c:cat>
          <c:val>
            <c:numRef>
              <c:f>'Overzichtsgrafieken &amp; -tabellen'!$B$73:$B$81</c:f>
              <c:numCache>
                <c:formatCode>0.00</c:formatCode>
                <c:ptCount val="9"/>
                <c:pt idx="0" formatCode="0.0000">
                  <c:v>7.7000000000000002E-3</c:v>
                </c:pt>
                <c:pt idx="1">
                  <c:v>9.2940466008214623E-2</c:v>
                </c:pt>
                <c:pt idx="2">
                  <c:v>0.6064365407036002</c:v>
                </c:pt>
                <c:pt idx="3">
                  <c:v>0.8</c:v>
                </c:pt>
                <c:pt idx="4">
                  <c:v>0.89061222292253173</c:v>
                </c:pt>
                <c:pt idx="5">
                  <c:v>0.84999999999999987</c:v>
                </c:pt>
                <c:pt idx="6">
                  <c:v>3.8383085872326079</c:v>
                </c:pt>
                <c:pt idx="7">
                  <c:v>6.8656503116078937</c:v>
                </c:pt>
                <c:pt idx="8">
                  <c:v>2.777919875623986</c:v>
                </c:pt>
              </c:numCache>
            </c:numRef>
          </c:val>
          <c:smooth val="0"/>
          <c:extLst>
            <c:ext xmlns:c16="http://schemas.microsoft.com/office/drawing/2014/chart" uri="{C3380CC4-5D6E-409C-BE32-E72D297353CC}">
              <c16:uniqueId val="{00000000-8496-4239-A4B5-11EE75A1F37A}"/>
            </c:ext>
          </c:extLst>
        </c:ser>
        <c:ser>
          <c:idx val="1"/>
          <c:order val="1"/>
          <c:tx>
            <c:strRef>
              <c:f>'Overzichtsgrafieken &amp; -tabellen'!$C$72</c:f>
              <c:strCache>
                <c:ptCount val="1"/>
                <c:pt idx="0">
                  <c:v>Max. bedrag</c:v>
                </c:pt>
              </c:strCache>
            </c:strRef>
          </c:tx>
          <c:spPr>
            <a:ln w="28575" cap="rnd">
              <a:noFill/>
              <a:round/>
            </a:ln>
            <a:effectLst/>
          </c:spPr>
          <c:marker>
            <c:symbol val="diamond"/>
            <c:size val="6"/>
            <c:spPr>
              <a:solidFill>
                <a:srgbClr val="FF6700"/>
              </a:solidFill>
              <a:ln w="9525">
                <a:noFill/>
              </a:ln>
              <a:effectLst/>
            </c:spPr>
          </c:marker>
          <c:dLbls>
            <c:delete val="1"/>
          </c:dLbls>
          <c:cat>
            <c:strRef>
              <c:f>'Overzichtsgrafieken &amp; -tabellen'!$A$73:$A$81</c:f>
              <c:strCache>
                <c:ptCount val="9"/>
                <c:pt idx="0">
                  <c:v>Terugpompen sluizen</c:v>
                </c:pt>
                <c:pt idx="1">
                  <c:v>Omvorming naar peilgestuurde drainage</c:v>
                </c:pt>
                <c:pt idx="2">
                  <c:v>Spaarbekken</c:v>
                </c:pt>
                <c:pt idx="3">
                  <c:v>Waterhergebruik hoge kwaliteit</c:v>
                </c:pt>
                <c:pt idx="4">
                  <c:v>Wateraudit</c:v>
                </c:pt>
                <c:pt idx="5">
                  <c:v>Waterhergebruik lage kwaliteit</c:v>
                </c:pt>
                <c:pt idx="6">
                  <c:v>Hemelwaterputten (industrie)</c:v>
                </c:pt>
                <c:pt idx="7">
                  <c:v>Druppelirrigatie</c:v>
                </c:pt>
                <c:pt idx="8">
                  <c:v>Hemelwaterputten (hh)</c:v>
                </c:pt>
              </c:strCache>
            </c:strRef>
          </c:cat>
          <c:val>
            <c:numRef>
              <c:f>'Overzichtsgrafieken &amp; -tabellen'!$C$73:$C$81</c:f>
              <c:numCache>
                <c:formatCode>0.00</c:formatCode>
                <c:ptCount val="9"/>
                <c:pt idx="0" formatCode="0.0000">
                  <c:v>0.03</c:v>
                </c:pt>
                <c:pt idx="1">
                  <c:v>0.24777928237790015</c:v>
                </c:pt>
                <c:pt idx="2">
                  <c:v>1.1835968346146131</c:v>
                </c:pt>
                <c:pt idx="3">
                  <c:v>4.138461538461538</c:v>
                </c:pt>
                <c:pt idx="4">
                  <c:v>3.5624488916901269</c:v>
                </c:pt>
                <c:pt idx="5">
                  <c:v>10.049999999999999</c:v>
                </c:pt>
                <c:pt idx="6">
                  <c:v>6.0462774890790607</c:v>
                </c:pt>
                <c:pt idx="7">
                  <c:v>7.5884239429158118</c:v>
                </c:pt>
                <c:pt idx="8">
                  <c:v>15.788459318240877</c:v>
                </c:pt>
              </c:numCache>
            </c:numRef>
          </c:val>
          <c:smooth val="0"/>
          <c:extLst>
            <c:ext xmlns:c16="http://schemas.microsoft.com/office/drawing/2014/chart" uri="{C3380CC4-5D6E-409C-BE32-E72D297353CC}">
              <c16:uniqueId val="{00000001-8496-4239-A4B5-11EE75A1F37A}"/>
            </c:ext>
          </c:extLst>
        </c:ser>
        <c:ser>
          <c:idx val="2"/>
          <c:order val="2"/>
          <c:tx>
            <c:strRef>
              <c:f>'Overzichtsgrafieken &amp; -tabellen'!$D$72</c:f>
              <c:strCache>
                <c:ptCount val="1"/>
                <c:pt idx="0">
                  <c:v>Gem. bedrag</c:v>
                </c:pt>
              </c:strCache>
            </c:strRef>
          </c:tx>
          <c:spPr>
            <a:ln w="28575" cap="rnd">
              <a:noFill/>
              <a:round/>
            </a:ln>
            <a:effectLst/>
          </c:spPr>
          <c:marker>
            <c:symbol val="square"/>
            <c:size val="7"/>
            <c:spPr>
              <a:solidFill>
                <a:srgbClr val="41D9F9"/>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'Overzichtsgrafieken &amp; -tabellen'!$A$73:$A$81</c:f>
              <c:strCache>
                <c:ptCount val="9"/>
                <c:pt idx="0">
                  <c:v>Terugpompen sluizen</c:v>
                </c:pt>
                <c:pt idx="1">
                  <c:v>Omvorming naar peilgestuurde drainage</c:v>
                </c:pt>
                <c:pt idx="2">
                  <c:v>Spaarbekken</c:v>
                </c:pt>
                <c:pt idx="3">
                  <c:v>Waterhergebruik hoge kwaliteit</c:v>
                </c:pt>
                <c:pt idx="4">
                  <c:v>Wateraudit</c:v>
                </c:pt>
                <c:pt idx="5">
                  <c:v>Waterhergebruik lage kwaliteit</c:v>
                </c:pt>
                <c:pt idx="6">
                  <c:v>Hemelwaterputten (industrie)</c:v>
                </c:pt>
                <c:pt idx="7">
                  <c:v>Druppelirrigatie</c:v>
                </c:pt>
                <c:pt idx="8">
                  <c:v>Hemelwaterputten (hh)</c:v>
                </c:pt>
              </c:strCache>
            </c:strRef>
          </c:cat>
          <c:val>
            <c:numRef>
              <c:f>'Overzichtsgrafieken &amp; -tabellen'!$D$73:$D$81</c:f>
              <c:numCache>
                <c:formatCode>0.00</c:formatCode>
                <c:ptCount val="9"/>
                <c:pt idx="0" formatCode="0.0000">
                  <c:v>1.6424999999999999E-2</c:v>
                </c:pt>
                <c:pt idx="1">
                  <c:v>0.1703598741930574</c:v>
                </c:pt>
                <c:pt idx="2">
                  <c:v>0.87410508280725818</c:v>
                </c:pt>
                <c:pt idx="3">
                  <c:v>1.3384615384615384</c:v>
                </c:pt>
                <c:pt idx="4">
                  <c:v>2.2265305573063294</c:v>
                </c:pt>
                <c:pt idx="5">
                  <c:v>2.25</c:v>
                </c:pt>
                <c:pt idx="6">
                  <c:v>4.279902367601899</c:v>
                </c:pt>
                <c:pt idx="7">
                  <c:v>7.227037127261851</c:v>
                </c:pt>
                <c:pt idx="8">
                  <c:v>8.6207989263784963</c:v>
                </c:pt>
              </c:numCache>
            </c:numRef>
          </c:val>
          <c:smooth val="0"/>
          <c:extLst>
            <c:ext xmlns:c16="http://schemas.microsoft.com/office/drawing/2014/chart" uri="{C3380CC4-5D6E-409C-BE32-E72D297353CC}">
              <c16:uniqueId val="{00000002-8496-4239-A4B5-11EE75A1F37A}"/>
            </c:ext>
          </c:extLst>
        </c:ser>
        <c:dLbls>
          <c:dLblPos val="r"/>
          <c:showLegendKey val="0"/>
          <c:showVal val="1"/>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1101106848"/>
        <c:axId val="1086363104"/>
      </c:lineChart>
      <c:catAx>
        <c:axId val="110110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363104"/>
        <c:crosses val="autoZero"/>
        <c:auto val="1"/>
        <c:lblAlgn val="ctr"/>
        <c:lblOffset val="100"/>
        <c:noMultiLvlLbl val="0"/>
      </c:catAx>
      <c:valAx>
        <c:axId val="1086363104"/>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a:t>
                </a:r>
                <a:r>
                  <a:rPr lang="en-US" baseline="0"/>
                  <a:t> / m3 water bespaard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110684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142875</xdr:colOff>
      <xdr:row>8</xdr:row>
      <xdr:rowOff>0</xdr:rowOff>
    </xdr:from>
    <xdr:to>
      <xdr:col>24</xdr:col>
      <xdr:colOff>598805</xdr:colOff>
      <xdr:row>37</xdr:row>
      <xdr:rowOff>175261</xdr:rowOff>
    </xdr:to>
    <xdr:graphicFrame macro="">
      <xdr:nvGraphicFramePr>
        <xdr:cNvPr id="4" name="Chart 3">
          <a:extLst>
            <a:ext uri="{FF2B5EF4-FFF2-40B4-BE49-F238E27FC236}">
              <a16:creationId xmlns:a16="http://schemas.microsoft.com/office/drawing/2014/main" id="{2A355188-7D00-4A46-A7DB-3A9DEAEB2C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29845</xdr:colOff>
      <xdr:row>7</xdr:row>
      <xdr:rowOff>138430</xdr:rowOff>
    </xdr:from>
    <xdr:to>
      <xdr:col>24</xdr:col>
      <xdr:colOff>106045</xdr:colOff>
      <xdr:row>8</xdr:row>
      <xdr:rowOff>112394</xdr:rowOff>
    </xdr:to>
    <xdr:sp macro="" textlink="">
      <xdr:nvSpPr>
        <xdr:cNvPr id="5" name="Diamond 4">
          <a:extLst>
            <a:ext uri="{FF2B5EF4-FFF2-40B4-BE49-F238E27FC236}">
              <a16:creationId xmlns:a16="http://schemas.microsoft.com/office/drawing/2014/main" id="{0A76DF85-7EC5-466E-8773-A8B8E5662478}"/>
            </a:ext>
          </a:extLst>
        </xdr:cNvPr>
        <xdr:cNvSpPr/>
      </xdr:nvSpPr>
      <xdr:spPr>
        <a:xfrm flipH="1">
          <a:off x="16708120" y="586105"/>
          <a:ext cx="76200" cy="154939"/>
        </a:xfrm>
        <a:prstGeom prst="diamond">
          <a:avLst/>
        </a:prstGeom>
        <a:solidFill>
          <a:srgbClr val="FF67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clientData/>
  </xdr:twoCellAnchor>
  <xdr:twoCellAnchor>
    <xdr:from>
      <xdr:col>4</xdr:col>
      <xdr:colOff>151130</xdr:colOff>
      <xdr:row>39</xdr:row>
      <xdr:rowOff>173355</xdr:rowOff>
    </xdr:from>
    <xdr:to>
      <xdr:col>25</xdr:col>
      <xdr:colOff>0</xdr:colOff>
      <xdr:row>68</xdr:row>
      <xdr:rowOff>50165</xdr:rowOff>
    </xdr:to>
    <xdr:graphicFrame macro="">
      <xdr:nvGraphicFramePr>
        <xdr:cNvPr id="6" name="Chart 5">
          <a:extLst>
            <a:ext uri="{FF2B5EF4-FFF2-40B4-BE49-F238E27FC236}">
              <a16:creationId xmlns:a16="http://schemas.microsoft.com/office/drawing/2014/main" id="{13B89DD6-E88F-4D5C-B14C-BC53DD8E52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187324</xdr:colOff>
      <xdr:row>70</xdr:row>
      <xdr:rowOff>174625</xdr:rowOff>
    </xdr:from>
    <xdr:to>
      <xdr:col>24</xdr:col>
      <xdr:colOff>603249</xdr:colOff>
      <xdr:row>97</xdr:row>
      <xdr:rowOff>128270</xdr:rowOff>
    </xdr:to>
    <xdr:graphicFrame macro="">
      <xdr:nvGraphicFramePr>
        <xdr:cNvPr id="8" name="Chart 7">
          <a:extLst>
            <a:ext uri="{FF2B5EF4-FFF2-40B4-BE49-F238E27FC236}">
              <a16:creationId xmlns:a16="http://schemas.microsoft.com/office/drawing/2014/main" id="{EB2851D7-BB42-471C-A26D-E52196EC0A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0.95662</cdr:x>
      <cdr:y>0.08056</cdr:y>
    </cdr:from>
    <cdr:to>
      <cdr:x>0.96204</cdr:x>
      <cdr:y>0.09125</cdr:y>
    </cdr:to>
    <cdr:sp macro="" textlink="">
      <cdr:nvSpPr>
        <cdr:cNvPr id="2" name="Rectangle 1">
          <a:extLst xmlns:a="http://schemas.openxmlformats.org/drawingml/2006/main">
            <a:ext uri="{FF2B5EF4-FFF2-40B4-BE49-F238E27FC236}">
              <a16:creationId xmlns:a16="http://schemas.microsoft.com/office/drawing/2014/main" id="{78D512FA-FF8D-4E85-8CE8-C4D3A0955455}"/>
            </a:ext>
          </a:extLst>
        </cdr:cNvPr>
        <cdr:cNvSpPr/>
      </cdr:nvSpPr>
      <cdr:spPr>
        <a:xfrm xmlns:a="http://schemas.openxmlformats.org/drawingml/2006/main">
          <a:off x="11202670" y="430530"/>
          <a:ext cx="63500" cy="57150"/>
        </a:xfrm>
        <a:prstGeom xmlns:a="http://schemas.openxmlformats.org/drawingml/2006/main" prst="rect">
          <a:avLst/>
        </a:prstGeom>
        <a:solidFill xmlns:a="http://schemas.openxmlformats.org/drawingml/2006/main">
          <a:srgbClr val="41D9F9"/>
        </a:solidFill>
        <a:ln xmlns:a="http://schemas.openxmlformats.org/drawingml/2006/main">
          <a:solidFill>
            <a:srgbClr val="41D9F9"/>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NL"/>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C2898-778B-43BD-AEB1-75B84D24A8FD}" name="Table1" displayName="Table1" ref="A9:D24" totalsRowShown="0" headerRowDxfId="34" headerRowBorderDxfId="32" tableBorderDxfId="33">
  <autoFilter ref="A9:D24" xr:uid="{0AFABD3A-322E-4E24-81B5-420AA173813E}"/>
  <sortState xmlns:xlrd2="http://schemas.microsoft.com/office/spreadsheetml/2017/richdata2" ref="A10:D24">
    <sortCondition sortBy="cellColor" ref="A9:A24" dxfId="31"/>
  </sortState>
  <tableColumns count="4">
    <tableColumn id="1" xr3:uid="{D8368314-8435-45A4-83C7-14F2883342B2}" name="Maatregel" dataDxfId="30"/>
    <tableColumn id="2" xr3:uid="{ECF4770B-618D-4890-A99C-02C0DBDE44F1}" name="Min. bedrag" dataDxfId="29"/>
    <tableColumn id="3" xr3:uid="{4ECD48C4-CD1A-4D2F-9801-CF0AFF490CC1}" name="Max. bedrag" dataDxfId="28"/>
    <tableColumn id="4" xr3:uid="{AC6E9CCD-F58A-4973-839E-47EBE54B7019}" name="Gem. bedrag" dataDxfId="2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FC3A22-B8CC-45AA-BD65-E81B8E4407D4}" name="Table2" displayName="Table2" ref="A41:D57" totalsRowShown="0" headerRowDxfId="26" headerRowBorderDxfId="24" tableBorderDxfId="25">
  <autoFilter ref="A41:D57" xr:uid="{83660C1E-41BB-4266-80B4-E6AA736D178E}"/>
  <sortState xmlns:xlrd2="http://schemas.microsoft.com/office/spreadsheetml/2017/richdata2" ref="A42:D57">
    <sortCondition sortBy="cellColor" ref="A41:A57" dxfId="23"/>
  </sortState>
  <tableColumns count="4">
    <tableColumn id="1" xr3:uid="{E2CA0335-ED3D-4ABA-AA0E-36B2CAF91475}" name="Maatregel" dataDxfId="22"/>
    <tableColumn id="2" xr3:uid="{157EFF60-EB17-43A4-8AF6-9582E1A3DEB3}" name="Min. bedrag"/>
    <tableColumn id="3" xr3:uid="{1CF388B1-C613-4207-B731-A3AEC74F71E2}" name="Max. bedrag"/>
    <tableColumn id="4" xr3:uid="{B711E766-5C63-4707-A5CD-C7472C8572B6}" name="Gem. bedrag" dataDxfId="21"/>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0B931-B050-45E9-AF39-83DE18B538AA}" name="Table3" displayName="Table3" ref="A72:D81" totalsRowShown="0" headerRowDxfId="20" headerRowBorderDxfId="18" tableBorderDxfId="19">
  <autoFilter ref="A72:D81" xr:uid="{AACD6A4F-C685-49D1-AE70-19D13DFF67B8}"/>
  <sortState xmlns:xlrd2="http://schemas.microsoft.com/office/spreadsheetml/2017/richdata2" ref="A73:D81">
    <sortCondition ref="D72:D81"/>
  </sortState>
  <tableColumns count="4">
    <tableColumn id="1" xr3:uid="{50999ECC-5AC9-4334-B4BC-E799511AD4B6}" name="Maatregel" dataDxfId="17"/>
    <tableColumn id="2" xr3:uid="{D37152A2-978E-4693-8698-D2C01C538D02}" name="Min. bedrag"/>
    <tableColumn id="3" xr3:uid="{B4C30D77-920B-42A1-8A4F-0EE723AC8541}" name="Max. bedrag"/>
    <tableColumn id="4" xr3:uid="{0EC5625A-1FF7-4500-9996-94BFC75D358E}" name="Gem. bedrag"/>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8E637B-1B8B-4FE6-BB30-5942F38C75C9}" name="Inputhemelwaterput" displayName="Inputhemelwaterput" ref="A33:B35" totalsRowShown="0">
  <autoFilter ref="A33:B35" xr:uid="{D6236A50-8899-4211-AAE6-3755ACDD1E65}"/>
  <tableColumns count="2">
    <tableColumn id="1" xr3:uid="{122AC4E0-C8F0-4D85-9B02-9C13BB6D3521}" name="GSV"/>
    <tableColumn id="2" xr3:uid="{8DA09A7D-BA2C-4D36-98BE-222AB2FC9DD4}" name="Vereist volume hemelwaterput (m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B7128B-DD37-4E38-93A5-BF2D9C2E1164}" name="InputSirio" displayName="InputSirio" ref="A1:N61" totalsRowShown="0" headerRowDxfId="16" dataDxfId="15" headerRowBorderDxfId="14">
  <autoFilter ref="A1:N61" xr:uid="{5C4F68F7-212B-41DF-B406-24AC5E6FE196}"/>
  <sortState xmlns:xlrd2="http://schemas.microsoft.com/office/spreadsheetml/2017/richdata2" ref="A2:N61">
    <sortCondition ref="A1:A61"/>
  </sortState>
  <tableColumns count="14">
    <tableColumn id="1" xr3:uid="{06FFC558-ECA3-4622-ACC4-8E976636F096}" name="Case nr" dataDxfId="13"/>
    <tableColumn id="15" xr3:uid="{06C6DFDA-EF57-4F62-A8BD-EF6446FE8BAE}" name="Type" dataDxfId="12"/>
    <tableColumn id="2" xr3:uid="{E134965E-FA20-4658-9A10-33547F290B1A}" name="GSV" dataDxfId="11"/>
    <tableColumn id="3" xr3:uid="{269A96BE-F3D8-4144-B5E6-161B888ED717}" name="Klimaatscenario" dataDxfId="10"/>
    <tableColumn id="4" xr3:uid="{98E81D1C-6445-408F-B05A-12131C1A6D73}" name="total_buffervolume" dataDxfId="9"/>
    <tableColumn id="5" xr3:uid="{F9C4A4D2-318F-4B7A-9A4B-7C6053F6E243}" name="buffer_above_throughflow" dataDxfId="8"/>
    <tableColumn id="6" xr3:uid="{18E574F0-DD54-4E3D-954C-92A9A260FB25}" name="buffer_under_throughflow" dataDxfId="7"/>
    <tableColumn id="7" xr3:uid="{8BBE053F-8FAC-42E2-94E9-CF083F8B0D7F}" name="infiltratieoppervlakte wanden" dataDxfId="6"/>
    <tableColumn id="8" xr3:uid="{1E33A557-D78B-496E-A83D-378D6F283A4E}" name="doorvoerdebiet" dataDxfId="5"/>
    <tableColumn id="9" xr3:uid="{EE2C994F-96E1-4701-8DC2-F4428FD69FCC}" name="infiltratiecapaciteit" dataDxfId="4"/>
    <tableColumn id="10" xr3:uid="{3DAE9784-954A-4038-A41E-A9381AA54FA0}" name="bodemoppervlakte" dataDxfId="3"/>
    <tableColumn id="14" xr3:uid="{39D02B23-09FB-4A04-9895-A6FB430B8657}" name="Key" dataDxfId="2">
      <calculatedColumnFormula>InputSirio[[#This Row],[Type]]&amp;InputSirio[[#This Row],[GSV]]&amp;InputSirio[[#This Row],[Klimaatscenario]]&amp;InputSirio[[#This Row],[infiltratiecapaciteit]]</calculatedColumnFormula>
    </tableColumn>
    <tableColumn id="11" xr3:uid="{72F6B7DF-EEA5-44D2-A5DA-94AE0A1CCDDD}" name="MASS_infiltratie (m3/ha afwaterend opp/jaar)" dataDxfId="1"/>
    <tableColumn id="12" xr3:uid="{F9FFF2FD-0D88-4F40-A38B-95488AE68A1F}" name="MASS_infiltratie (m3/m2 afwaterend opp/jaar)" dataDxfId="0">
      <calculatedColumnFormula>M2/10000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hyperlink" Target="https://blauwgroenvlaanderen.be/professionals/maatregelen/wadis/" TargetMode="External"/><Relationship Id="rId7" Type="http://schemas.openxmlformats.org/officeDocument/2006/relationships/printerSettings" Target="../printerSettings/printerSettings4.bin"/><Relationship Id="rId2" Type="http://schemas.openxmlformats.org/officeDocument/2006/relationships/hyperlink" Target="https://blauwgroenvlaanderen.be/professionals/maatregelen/wadis/" TargetMode="External"/><Relationship Id="rId1" Type="http://schemas.openxmlformats.org/officeDocument/2006/relationships/hyperlink" Target="https://blauwgroenvlaanderen.be/bewoners/maatregelen/maak-een-infiltratiegracht-of-wadi/" TargetMode="External"/><Relationship Id="rId6" Type="http://schemas.openxmlformats.org/officeDocument/2006/relationships/hyperlink" Target="https://blauwgroenvlaanderen.be/professionals/maatregelen/wadis/" TargetMode="External"/><Relationship Id="rId5" Type="http://schemas.openxmlformats.org/officeDocument/2006/relationships/hyperlink" Target="https://blauwgroenvlaanderen.be/professionals/maatregelen/wadis/" TargetMode="External"/><Relationship Id="rId4" Type="http://schemas.openxmlformats.org/officeDocument/2006/relationships/hyperlink" Target="https://blauwgroenvlaanderen.be/professionals/maatregelen/wadi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blauwgroenvlaanderen.be/professionals/maatregelen/wadis/" TargetMode="External"/><Relationship Id="rId7" Type="http://schemas.openxmlformats.org/officeDocument/2006/relationships/printerSettings" Target="../printerSettings/printerSettings5.bin"/><Relationship Id="rId2" Type="http://schemas.openxmlformats.org/officeDocument/2006/relationships/hyperlink" Target="https://blauwgroenvlaanderen.be/professionals/maatregelen/wadis/" TargetMode="External"/><Relationship Id="rId1" Type="http://schemas.openxmlformats.org/officeDocument/2006/relationships/hyperlink" Target="https://blauwgroenvlaanderen.be/bewoners/maatregelen/maak-een-infiltratiegracht-of-wadi/" TargetMode="External"/><Relationship Id="rId6" Type="http://schemas.openxmlformats.org/officeDocument/2006/relationships/hyperlink" Target="https://blauwgroenvlaanderen.be/bewoners/maatregelen/maak-een-infiltratiegracht-of-wadi/" TargetMode="External"/><Relationship Id="rId5" Type="http://schemas.openxmlformats.org/officeDocument/2006/relationships/hyperlink" Target="https://blauwgroenvlaanderen.be/bewoners/maatregelen/maak-een-infiltratiegracht-of-wadi/" TargetMode="External"/><Relationship Id="rId4" Type="http://schemas.openxmlformats.org/officeDocument/2006/relationships/hyperlink" Target="https://blauwgroenvlaanderen.be/professionals/maatregelen/wadi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blauwgroenvlaanderen.be/professionals/maatregelen/waterdoorlatende-onderfundering-met-ondoorlatende-verharding" TargetMode="External"/><Relationship Id="rId1" Type="http://schemas.openxmlformats.org/officeDocument/2006/relationships/hyperlink" Target="https://blauwgroenvlaanderen.be/professionals/maatregelen/ondergronds-infiltratievolum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lauwgroenvlaanderen.be/professionals/maatregelen/waterdoorlatende-onderfundering-met-ondoorlatende-verharding"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blauwgroenvlaanderen.be/bewoners/maatregelen/onthard-je-oprit-en-terras/" TargetMode="External"/><Relationship Id="rId7" Type="http://schemas.openxmlformats.org/officeDocument/2006/relationships/hyperlink" Target="https://omgeving.vlaanderen.be/waarom-ontharden" TargetMode="External"/><Relationship Id="rId2" Type="http://schemas.openxmlformats.org/officeDocument/2006/relationships/hyperlink" Target="https://blauwgroenvlaanderen.be/bewoners/maatregelen/onthard-je-oprit-en-terras/" TargetMode="External"/><Relationship Id="rId1" Type="http://schemas.openxmlformats.org/officeDocument/2006/relationships/hyperlink" Target="https://omgeving.vlaanderen.be/waarom-ontharden" TargetMode="External"/><Relationship Id="rId6" Type="http://schemas.openxmlformats.org/officeDocument/2006/relationships/hyperlink" Target="https://omgeving.vlaanderen.be/waarom-ontharden" TargetMode="External"/><Relationship Id="rId5" Type="http://schemas.openxmlformats.org/officeDocument/2006/relationships/hyperlink" Target="https://omgeving.vlaanderen.be/waarom-ontharden" TargetMode="External"/><Relationship Id="rId4" Type="http://schemas.openxmlformats.org/officeDocument/2006/relationships/hyperlink" Target="https://blauwgroenvlaanderen.be/bewoners/maatregelen/onthard-je-oprit-en-terra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blauwgroenvlaanderen.be/scholen/maatregelen/waterdoorlatende-halfverharding/" TargetMode="External"/><Relationship Id="rId2" Type="http://schemas.openxmlformats.org/officeDocument/2006/relationships/hyperlink" Target="https://www.vmm.be/water/bouwen/regenwater/infiltratie" TargetMode="External"/><Relationship Id="rId1" Type="http://schemas.openxmlformats.org/officeDocument/2006/relationships/hyperlink" Target="https://omgeving.vlaanderen.be/waarom-ontharden" TargetMode="External"/><Relationship Id="rId5" Type="http://schemas.openxmlformats.org/officeDocument/2006/relationships/printerSettings" Target="../printerSettings/printerSettings9.bin"/><Relationship Id="rId4" Type="http://schemas.openxmlformats.org/officeDocument/2006/relationships/hyperlink" Target="https://blauwgroenvlaanderen.be/scholen/maatregelen/waterdoorlatende-halfverhardin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blauwgroenvlaanderen.be/scholen/maatregelen/waterdoorlatende-halfverharding/" TargetMode="External"/><Relationship Id="rId2" Type="http://schemas.openxmlformats.org/officeDocument/2006/relationships/hyperlink" Target="https://www.vmm.be/water/bouwen/regenwater/infiltratie" TargetMode="External"/><Relationship Id="rId1" Type="http://schemas.openxmlformats.org/officeDocument/2006/relationships/hyperlink" Target="https://omgeving.vlaanderen.be/waarom-ontharden" TargetMode="External"/><Relationship Id="rId4" Type="http://schemas.openxmlformats.org/officeDocument/2006/relationships/hyperlink" Target="https://blauwgroenvlaanderen.be/scholen/maatregelen/waterdoorlatende-halfverhardin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blauwgroenvlaanderen.be/bewoners/maatregelen/regenpijp-afkoppelen" TargetMode="External"/><Relationship Id="rId2" Type="http://schemas.openxmlformats.org/officeDocument/2006/relationships/hyperlink" Target="https://blauwgroenvlaanderen.be/bewoners/maatregelen/regenpijp-afkoppelen" TargetMode="External"/><Relationship Id="rId1" Type="http://schemas.openxmlformats.org/officeDocument/2006/relationships/hyperlink" Target="https://www.spanhakdakwerken.nl/levensduur-zinken-dakgoot"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boerennatuur.be/pdf/2018_Koester-de-koolstof_Eindrapport.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blauwgroenvlaanderen.be/professionals/maatregelen/wadis/" TargetMode="External"/><Relationship Id="rId2" Type="http://schemas.openxmlformats.org/officeDocument/2006/relationships/hyperlink" Target="https://blauwgroenvlaanderen.be/professionals/maatregelen/wadis/" TargetMode="External"/><Relationship Id="rId1" Type="http://schemas.openxmlformats.org/officeDocument/2006/relationships/hyperlink" Target="https://blauwgroenvlaanderen.be/bewoners/maatregelen/maak-een-infiltratiegracht-of-wadi/" TargetMode="External"/><Relationship Id="rId5" Type="http://schemas.openxmlformats.org/officeDocument/2006/relationships/printerSettings" Target="../printerSettings/printerSettings15.bin"/><Relationship Id="rId4" Type="http://schemas.openxmlformats.org/officeDocument/2006/relationships/hyperlink" Target="https://blauwgroenvlaanderen.be/professionals/maatregelen/wadi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boerennatuur.be/pdf/20210114_Boerennaturen_Stuwpeilbeheer.pdf" TargetMode="External"/><Relationship Id="rId1" Type="http://schemas.openxmlformats.org/officeDocument/2006/relationships/hyperlink" Target="http://www.boerennatuur.be/pdf/20210114_Boerennaturen_Stuwpeilbeheer.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boerennatuur.be/pdf/20210114_Boerennaturen_Stuwpeilbeheer.pdf" TargetMode="External"/><Relationship Id="rId3" Type="http://schemas.openxmlformats.org/officeDocument/2006/relationships/hyperlink" Target="https://blauwgroenvlaanderen.be/professionals/maatregelen/wadis/" TargetMode="External"/><Relationship Id="rId7" Type="http://schemas.openxmlformats.org/officeDocument/2006/relationships/hyperlink" Target="http://www.boerennatuur.be/pdf/20210114_Boerennaturen_Stuwpeilbeheer.pdf" TargetMode="External"/><Relationship Id="rId2" Type="http://schemas.openxmlformats.org/officeDocument/2006/relationships/hyperlink" Target="https://blauwgroenvlaanderen.be/professionals/maatregelen/wadis/" TargetMode="External"/><Relationship Id="rId1" Type="http://schemas.openxmlformats.org/officeDocument/2006/relationships/hyperlink" Target="https://blauwgroenvlaanderen.be/bewoners/maatregelen/maak-een-infiltratiegracht-of-wadi/" TargetMode="External"/><Relationship Id="rId6" Type="http://schemas.openxmlformats.org/officeDocument/2006/relationships/hyperlink" Target="https://blauwgroenvlaanderen.be/bewoners/maatregelen/maak-een-infiltratiegracht-of-wadi/" TargetMode="External"/><Relationship Id="rId5" Type="http://schemas.openxmlformats.org/officeDocument/2006/relationships/hyperlink" Target="https://blauwgroenvlaanderen.be/bewoners/maatregelen/maak-een-infiltratiegracht-of-wadi/" TargetMode="External"/><Relationship Id="rId4" Type="http://schemas.openxmlformats.org/officeDocument/2006/relationships/hyperlink" Target="https://blauwgroenvlaanderen.be/professionals/maatregelen/wadis/" TargetMode="External"/><Relationship Id="rId9"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boerennatuur.be/pdf/Factsheets/20211022_PGD.pdf" TargetMode="External"/><Relationship Id="rId7" Type="http://schemas.openxmlformats.org/officeDocument/2006/relationships/printerSettings" Target="../printerSettings/printerSettings18.bin"/><Relationship Id="rId2" Type="http://schemas.openxmlformats.org/officeDocument/2006/relationships/hyperlink" Target="https://www.boerennatuur.be/pdf/Factsheets/20211022_PGD.pdf" TargetMode="External"/><Relationship Id="rId1" Type="http://schemas.openxmlformats.org/officeDocument/2006/relationships/hyperlink" Target="https://www.boerennatuur.be/pdf/Factsheets/20211022_PGD.pdf" TargetMode="External"/><Relationship Id="rId6" Type="http://schemas.openxmlformats.org/officeDocument/2006/relationships/hyperlink" Target="https://edepot.wur.nl/19013" TargetMode="External"/><Relationship Id="rId5" Type="http://schemas.openxmlformats.org/officeDocument/2006/relationships/hyperlink" Target="http://www.agrobeheercentrum.be/Portals/41/Publicaties/20190630_Eindrapport%20-%20Drainage%20Plus-min.pdf" TargetMode="External"/><Relationship Id="rId4" Type="http://schemas.openxmlformats.org/officeDocument/2006/relationships/hyperlink" Target="http://pvl-bocholt.be/wp-content/uploads/2017/12/Brochure-Peilgestuurde-drainage.pdf"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bdb.be/files/vul201912.pdf" TargetMode="External"/><Relationship Id="rId7" Type="http://schemas.openxmlformats.org/officeDocument/2006/relationships/printerSettings" Target="../printerSettings/printerSettings19.bin"/><Relationship Id="rId2" Type="http://schemas.openxmlformats.org/officeDocument/2006/relationships/hyperlink" Target="https://www.bdb.be/files/vul201912.pdf" TargetMode="External"/><Relationship Id="rId1" Type="http://schemas.openxmlformats.org/officeDocument/2006/relationships/hyperlink" Target="https://www.bdb.be/files/vul201912.pdf" TargetMode="External"/><Relationship Id="rId6" Type="http://schemas.openxmlformats.org/officeDocument/2006/relationships/hyperlink" Target="http://www.boerennatuur.be/pdf/2018_Koester-de-koolstof_Eindrapport.pdf" TargetMode="External"/><Relationship Id="rId5" Type="http://schemas.openxmlformats.org/officeDocument/2006/relationships/hyperlink" Target="http://www.boerennatuur.be/pdf/2018_Koester-de-koolstof_Eindrapport.pdf" TargetMode="External"/><Relationship Id="rId4" Type="http://schemas.openxmlformats.org/officeDocument/2006/relationships/hyperlink" Target="http://www.boerennatuur.be/pdf/2018_Koester-de-koolstof_Eindrapport.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proefstation.be/wp-content/uploads/2020/03/Praktische-brochure-Druppelirrigatie.pdf" TargetMode="External"/><Relationship Id="rId2" Type="http://schemas.openxmlformats.org/officeDocument/2006/relationships/hyperlink" Target="https://www.proefstation.be/wp-content/uploads/2020/03/Praktische-brochure-Druppelirrigatie.pdf" TargetMode="External"/><Relationship Id="rId1" Type="http://schemas.openxmlformats.org/officeDocument/2006/relationships/hyperlink" Target="https://www.bdb.be/files/vul202106-Duurzaam-watergebruik.pdf"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lv.vlaanderen.be/nl/voorlichting-info/publicaties/praktijkgidsen/water/duurzaam-watergebruik-algemeen/wateraudit"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8" Type="http://schemas.openxmlformats.org/officeDocument/2006/relationships/hyperlink" Target="https://omgeving.vlaanderen.be/waarom-ontharden" TargetMode="External"/><Relationship Id="rId3" Type="http://schemas.openxmlformats.org/officeDocument/2006/relationships/hyperlink" Target="https://blauwgroenvlaanderen.be/bewoners/maatregelen/onthard-je-oprit-en-terras/" TargetMode="External"/><Relationship Id="rId7" Type="http://schemas.openxmlformats.org/officeDocument/2006/relationships/hyperlink" Target="https://omgeving.vlaanderen.be/waarom-ontharden" TargetMode="External"/><Relationship Id="rId2" Type="http://schemas.openxmlformats.org/officeDocument/2006/relationships/hyperlink" Target="https://omgeving.vlaanderen.be/waarom-ontharden" TargetMode="External"/><Relationship Id="rId1" Type="http://schemas.openxmlformats.org/officeDocument/2006/relationships/hyperlink" Target="https://doemee.ivn.nl/whitepaper-groene-schoolpleinen" TargetMode="External"/><Relationship Id="rId6" Type="http://schemas.openxmlformats.org/officeDocument/2006/relationships/hyperlink" Target="https://omgeving.vlaanderen.be/waarom-ontharden" TargetMode="External"/><Relationship Id="rId5" Type="http://schemas.openxmlformats.org/officeDocument/2006/relationships/hyperlink" Target="https://omgeving.vlaanderen.be/waarom-ontharden" TargetMode="External"/><Relationship Id="rId10" Type="http://schemas.openxmlformats.org/officeDocument/2006/relationships/printerSettings" Target="../printerSettings/printerSettings28.bin"/><Relationship Id="rId4" Type="http://schemas.openxmlformats.org/officeDocument/2006/relationships/hyperlink" Target="https://blauwgroenvlaanderen.be/bewoners/maatregelen/onthard-je-oprit-en-terras/" TargetMode="External"/><Relationship Id="rId9" Type="http://schemas.openxmlformats.org/officeDocument/2006/relationships/hyperlink" Target="https://www.rainproof.nl/thema/water-afvoeren" TargetMode="External"/></Relationships>
</file>

<file path=xl/worksheets/_rels/sheet30.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3CA7-6FB1-4D8B-B21C-3DD8055FCC2F}">
  <dimension ref="A1:O42"/>
  <sheetViews>
    <sheetView workbookViewId="0">
      <selection activeCell="A4" sqref="A4:M19"/>
    </sheetView>
  </sheetViews>
  <sheetFormatPr defaultRowHeight="14.45"/>
  <sheetData>
    <row r="1" spans="1:15" s="129" customFormat="1" ht="28.5">
      <c r="A1" s="130" t="s">
        <v>0</v>
      </c>
    </row>
    <row r="3" spans="1:15" s="165" customFormat="1" ht="18.600000000000001">
      <c r="A3" s="165" t="s">
        <v>1</v>
      </c>
    </row>
    <row r="4" spans="1:15" ht="14.45" customHeight="1">
      <c r="A4" s="166" t="s">
        <v>2</v>
      </c>
      <c r="B4" s="166"/>
      <c r="C4" s="166"/>
      <c r="D4" s="166"/>
      <c r="E4" s="166"/>
      <c r="F4" s="166"/>
      <c r="G4" s="166"/>
      <c r="H4" s="166"/>
      <c r="I4" s="166"/>
      <c r="J4" s="166"/>
      <c r="K4" s="166"/>
      <c r="L4" s="166"/>
      <c r="M4" s="166"/>
      <c r="N4" s="65"/>
      <c r="O4" s="65"/>
    </row>
    <row r="5" spans="1:15">
      <c r="A5" s="166"/>
      <c r="B5" s="166"/>
      <c r="C5" s="166"/>
      <c r="D5" s="166"/>
      <c r="E5" s="166"/>
      <c r="F5" s="166"/>
      <c r="G5" s="166"/>
      <c r="H5" s="166"/>
      <c r="I5" s="166"/>
      <c r="J5" s="166"/>
      <c r="K5" s="166"/>
      <c r="L5" s="166"/>
      <c r="M5" s="166"/>
      <c r="N5" s="65"/>
      <c r="O5" s="65"/>
    </row>
    <row r="6" spans="1:15">
      <c r="A6" s="166"/>
      <c r="B6" s="166"/>
      <c r="C6" s="166"/>
      <c r="D6" s="166"/>
      <c r="E6" s="166"/>
      <c r="F6" s="166"/>
      <c r="G6" s="166"/>
      <c r="H6" s="166"/>
      <c r="I6" s="166"/>
      <c r="J6" s="166"/>
      <c r="K6" s="166"/>
      <c r="L6" s="166"/>
      <c r="M6" s="166"/>
      <c r="N6" s="65"/>
      <c r="O6" s="65"/>
    </row>
    <row r="7" spans="1:15">
      <c r="A7" s="166"/>
      <c r="B7" s="166"/>
      <c r="C7" s="166"/>
      <c r="D7" s="166"/>
      <c r="E7" s="166"/>
      <c r="F7" s="166"/>
      <c r="G7" s="166"/>
      <c r="H7" s="166"/>
      <c r="I7" s="166"/>
      <c r="J7" s="166"/>
      <c r="K7" s="166"/>
      <c r="L7" s="166"/>
      <c r="M7" s="166"/>
      <c r="N7" s="65"/>
      <c r="O7" s="65"/>
    </row>
    <row r="8" spans="1:15">
      <c r="A8" s="166"/>
      <c r="B8" s="166"/>
      <c r="C8" s="166"/>
      <c r="D8" s="166"/>
      <c r="E8" s="166"/>
      <c r="F8" s="166"/>
      <c r="G8" s="166"/>
      <c r="H8" s="166"/>
      <c r="I8" s="166"/>
      <c r="J8" s="166"/>
      <c r="K8" s="166"/>
      <c r="L8" s="166"/>
      <c r="M8" s="166"/>
      <c r="N8" s="65"/>
      <c r="O8" s="65"/>
    </row>
    <row r="9" spans="1:15">
      <c r="A9" s="166"/>
      <c r="B9" s="166"/>
      <c r="C9" s="166"/>
      <c r="D9" s="166"/>
      <c r="E9" s="166"/>
      <c r="F9" s="166"/>
      <c r="G9" s="166"/>
      <c r="H9" s="166"/>
      <c r="I9" s="166"/>
      <c r="J9" s="166"/>
      <c r="K9" s="166"/>
      <c r="L9" s="166"/>
      <c r="M9" s="166"/>
      <c r="N9" s="65"/>
      <c r="O9" s="65"/>
    </row>
    <row r="10" spans="1:15">
      <c r="A10" s="166"/>
      <c r="B10" s="166"/>
      <c r="C10" s="166"/>
      <c r="D10" s="166"/>
      <c r="E10" s="166"/>
      <c r="F10" s="166"/>
      <c r="G10" s="166"/>
      <c r="H10" s="166"/>
      <c r="I10" s="166"/>
      <c r="J10" s="166"/>
      <c r="K10" s="166"/>
      <c r="L10" s="166"/>
      <c r="M10" s="166"/>
      <c r="N10" s="65"/>
      <c r="O10" s="65"/>
    </row>
    <row r="11" spans="1:15">
      <c r="A11" s="166"/>
      <c r="B11" s="166"/>
      <c r="C11" s="166"/>
      <c r="D11" s="166"/>
      <c r="E11" s="166"/>
      <c r="F11" s="166"/>
      <c r="G11" s="166"/>
      <c r="H11" s="166"/>
      <c r="I11" s="166"/>
      <c r="J11" s="166"/>
      <c r="K11" s="166"/>
      <c r="L11" s="166"/>
      <c r="M11" s="166"/>
      <c r="N11" s="65"/>
      <c r="O11" s="65"/>
    </row>
    <row r="12" spans="1:15">
      <c r="A12" s="166"/>
      <c r="B12" s="166"/>
      <c r="C12" s="166"/>
      <c r="D12" s="166"/>
      <c r="E12" s="166"/>
      <c r="F12" s="166"/>
      <c r="G12" s="166"/>
      <c r="H12" s="166"/>
      <c r="I12" s="166"/>
      <c r="J12" s="166"/>
      <c r="K12" s="166"/>
      <c r="L12" s="166"/>
      <c r="M12" s="166"/>
      <c r="N12" s="65"/>
      <c r="O12" s="65"/>
    </row>
    <row r="13" spans="1:15">
      <c r="A13" s="166"/>
      <c r="B13" s="166"/>
      <c r="C13" s="166"/>
      <c r="D13" s="166"/>
      <c r="E13" s="166"/>
      <c r="F13" s="166"/>
      <c r="G13" s="166"/>
      <c r="H13" s="166"/>
      <c r="I13" s="166"/>
      <c r="J13" s="166"/>
      <c r="K13" s="166"/>
      <c r="L13" s="166"/>
      <c r="M13" s="166"/>
      <c r="N13" s="65"/>
      <c r="O13" s="65"/>
    </row>
    <row r="14" spans="1:15">
      <c r="A14" s="166"/>
      <c r="B14" s="166"/>
      <c r="C14" s="166"/>
      <c r="D14" s="166"/>
      <c r="E14" s="166"/>
      <c r="F14" s="166"/>
      <c r="G14" s="166"/>
      <c r="H14" s="166"/>
      <c r="I14" s="166"/>
      <c r="J14" s="166"/>
      <c r="K14" s="166"/>
      <c r="L14" s="166"/>
      <c r="M14" s="166"/>
      <c r="N14" s="65"/>
      <c r="O14" s="65"/>
    </row>
    <row r="15" spans="1:15">
      <c r="A15" s="166"/>
      <c r="B15" s="166"/>
      <c r="C15" s="166"/>
      <c r="D15" s="166"/>
      <c r="E15" s="166"/>
      <c r="F15" s="166"/>
      <c r="G15" s="166"/>
      <c r="H15" s="166"/>
      <c r="I15" s="166"/>
      <c r="J15" s="166"/>
      <c r="K15" s="166"/>
      <c r="L15" s="166"/>
      <c r="M15" s="166"/>
      <c r="N15" s="65"/>
      <c r="O15" s="65"/>
    </row>
    <row r="16" spans="1:15">
      <c r="A16" s="166"/>
      <c r="B16" s="166"/>
      <c r="C16" s="166"/>
      <c r="D16" s="166"/>
      <c r="E16" s="166"/>
      <c r="F16" s="166"/>
      <c r="G16" s="166"/>
      <c r="H16" s="166"/>
      <c r="I16" s="166"/>
      <c r="J16" s="166"/>
      <c r="K16" s="166"/>
      <c r="L16" s="166"/>
      <c r="M16" s="166"/>
      <c r="N16" s="65"/>
      <c r="O16" s="65"/>
    </row>
    <row r="17" spans="1:15">
      <c r="A17" s="166"/>
      <c r="B17" s="166"/>
      <c r="C17" s="166"/>
      <c r="D17" s="166"/>
      <c r="E17" s="166"/>
      <c r="F17" s="166"/>
      <c r="G17" s="166"/>
      <c r="H17" s="166"/>
      <c r="I17" s="166"/>
      <c r="J17" s="166"/>
      <c r="K17" s="166"/>
      <c r="L17" s="166"/>
      <c r="M17" s="166"/>
      <c r="N17" s="65"/>
      <c r="O17" s="65"/>
    </row>
    <row r="18" spans="1:15">
      <c r="A18" s="166"/>
      <c r="B18" s="166"/>
      <c r="C18" s="166"/>
      <c r="D18" s="166"/>
      <c r="E18" s="166"/>
      <c r="F18" s="166"/>
      <c r="G18" s="166"/>
      <c r="H18" s="166"/>
      <c r="I18" s="166"/>
      <c r="J18" s="166"/>
      <c r="K18" s="166"/>
      <c r="L18" s="166"/>
      <c r="M18" s="166"/>
      <c r="N18" s="65"/>
      <c r="O18" s="65"/>
    </row>
    <row r="19" spans="1:15" ht="49.5" customHeight="1">
      <c r="A19" s="166"/>
      <c r="B19" s="166"/>
      <c r="C19" s="166"/>
      <c r="D19" s="166"/>
      <c r="E19" s="166"/>
      <c r="F19" s="166"/>
      <c r="G19" s="166"/>
      <c r="H19" s="166"/>
      <c r="I19" s="166"/>
      <c r="J19" s="166"/>
      <c r="K19" s="166"/>
      <c r="L19" s="166"/>
      <c r="M19" s="166"/>
      <c r="N19" s="65"/>
      <c r="O19" s="65"/>
    </row>
    <row r="20" spans="1:15">
      <c r="A20" s="65"/>
      <c r="B20" s="65"/>
      <c r="C20" s="65"/>
      <c r="D20" s="65"/>
      <c r="E20" s="65"/>
      <c r="F20" s="65"/>
      <c r="G20" s="65"/>
      <c r="H20" s="65"/>
      <c r="I20" s="65"/>
      <c r="J20" s="65"/>
      <c r="K20" s="65"/>
      <c r="L20" s="65"/>
      <c r="M20" s="65"/>
      <c r="N20" s="65"/>
      <c r="O20" s="65"/>
    </row>
    <row r="21" spans="1:15" s="165" customFormat="1" ht="18.600000000000001">
      <c r="A21" s="165" t="s">
        <v>3</v>
      </c>
    </row>
    <row r="22" spans="1:15" ht="14.45" customHeight="1">
      <c r="A22" s="166" t="s">
        <v>4</v>
      </c>
      <c r="B22" s="166"/>
      <c r="C22" s="166"/>
      <c r="D22" s="166"/>
      <c r="E22" s="166"/>
      <c r="F22" s="166"/>
      <c r="G22" s="166"/>
      <c r="H22" s="166"/>
      <c r="I22" s="166"/>
      <c r="J22" s="166"/>
      <c r="K22" s="166"/>
      <c r="L22" s="166"/>
      <c r="M22" s="166"/>
      <c r="N22" s="65"/>
      <c r="O22" s="65"/>
    </row>
    <row r="23" spans="1:15">
      <c r="A23" s="166"/>
      <c r="B23" s="166"/>
      <c r="C23" s="166"/>
      <c r="D23" s="166"/>
      <c r="E23" s="166"/>
      <c r="F23" s="166"/>
      <c r="G23" s="166"/>
      <c r="H23" s="166"/>
      <c r="I23" s="166"/>
      <c r="J23" s="166"/>
      <c r="K23" s="166"/>
      <c r="L23" s="166"/>
      <c r="M23" s="166"/>
      <c r="N23" s="65"/>
      <c r="O23" s="65"/>
    </row>
    <row r="24" spans="1:15">
      <c r="A24" s="166"/>
      <c r="B24" s="166"/>
      <c r="C24" s="166"/>
      <c r="D24" s="166"/>
      <c r="E24" s="166"/>
      <c r="F24" s="166"/>
      <c r="G24" s="166"/>
      <c r="H24" s="166"/>
      <c r="I24" s="166"/>
      <c r="J24" s="166"/>
      <c r="K24" s="166"/>
      <c r="L24" s="166"/>
      <c r="M24" s="166"/>
      <c r="N24" s="65"/>
      <c r="O24" s="65"/>
    </row>
    <row r="25" spans="1:15">
      <c r="A25" s="166"/>
      <c r="B25" s="166"/>
      <c r="C25" s="166"/>
      <c r="D25" s="166"/>
      <c r="E25" s="166"/>
      <c r="F25" s="166"/>
      <c r="G25" s="166"/>
      <c r="H25" s="166"/>
      <c r="I25" s="166"/>
      <c r="J25" s="166"/>
      <c r="K25" s="166"/>
      <c r="L25" s="166"/>
      <c r="M25" s="166"/>
      <c r="N25" s="65"/>
      <c r="O25" s="65"/>
    </row>
    <row r="26" spans="1:15">
      <c r="A26" s="166"/>
      <c r="B26" s="166"/>
      <c r="C26" s="166"/>
      <c r="D26" s="166"/>
      <c r="E26" s="166"/>
      <c r="F26" s="166"/>
      <c r="G26" s="166"/>
      <c r="H26" s="166"/>
      <c r="I26" s="166"/>
      <c r="J26" s="166"/>
      <c r="K26" s="166"/>
      <c r="L26" s="166"/>
      <c r="M26" s="166"/>
      <c r="N26" s="65"/>
      <c r="O26" s="65"/>
    </row>
    <row r="27" spans="1:15" ht="56.25" customHeight="1">
      <c r="A27" s="166"/>
      <c r="B27" s="166"/>
      <c r="C27" s="166"/>
      <c r="D27" s="166"/>
      <c r="E27" s="166"/>
      <c r="F27" s="166"/>
      <c r="G27" s="166"/>
      <c r="H27" s="166"/>
      <c r="I27" s="166"/>
      <c r="J27" s="166"/>
      <c r="K27" s="166"/>
      <c r="L27" s="166"/>
      <c r="M27" s="166"/>
      <c r="N27" s="65"/>
      <c r="O27" s="65"/>
    </row>
    <row r="28" spans="1:15">
      <c r="A28" s="65"/>
      <c r="B28" s="65"/>
      <c r="C28" s="65"/>
      <c r="D28" s="65"/>
      <c r="E28" s="65"/>
      <c r="F28" s="65"/>
      <c r="G28" s="65"/>
      <c r="H28" s="65"/>
      <c r="I28" s="65"/>
      <c r="J28" s="65"/>
      <c r="K28" s="65"/>
      <c r="L28" s="65"/>
      <c r="M28" s="65"/>
      <c r="N28" s="65"/>
      <c r="O28" s="65"/>
    </row>
    <row r="29" spans="1:15" s="165" customFormat="1" ht="18.600000000000001">
      <c r="A29" s="165" t="s">
        <v>5</v>
      </c>
    </row>
    <row r="30" spans="1:15" ht="14.45" customHeight="1">
      <c r="A30" s="166" t="s">
        <v>6</v>
      </c>
      <c r="B30" s="166"/>
      <c r="C30" s="166"/>
      <c r="D30" s="166"/>
      <c r="E30" s="166"/>
      <c r="F30" s="166"/>
      <c r="G30" s="166"/>
      <c r="H30" s="166"/>
      <c r="I30" s="166"/>
      <c r="J30" s="166"/>
      <c r="K30" s="166"/>
      <c r="L30" s="166"/>
      <c r="M30" s="166"/>
      <c r="N30" s="65"/>
      <c r="O30" s="65"/>
    </row>
    <row r="31" spans="1:15">
      <c r="A31" s="166"/>
      <c r="B31" s="166"/>
      <c r="C31" s="166"/>
      <c r="D31" s="166"/>
      <c r="E31" s="166"/>
      <c r="F31" s="166"/>
      <c r="G31" s="166"/>
      <c r="H31" s="166"/>
      <c r="I31" s="166"/>
      <c r="J31" s="166"/>
      <c r="K31" s="166"/>
      <c r="L31" s="166"/>
      <c r="M31" s="166"/>
      <c r="N31" s="65"/>
      <c r="O31" s="65"/>
    </row>
    <row r="32" spans="1:15">
      <c r="A32" s="166"/>
      <c r="B32" s="166"/>
      <c r="C32" s="166"/>
      <c r="D32" s="166"/>
      <c r="E32" s="166"/>
      <c r="F32" s="166"/>
      <c r="G32" s="166"/>
      <c r="H32" s="166"/>
      <c r="I32" s="166"/>
      <c r="J32" s="166"/>
      <c r="K32" s="166"/>
      <c r="L32" s="166"/>
      <c r="M32" s="166"/>
      <c r="N32" s="65"/>
      <c r="O32" s="65"/>
    </row>
    <row r="33" spans="1:15">
      <c r="A33" s="166"/>
      <c r="B33" s="166"/>
      <c r="C33" s="166"/>
      <c r="D33" s="166"/>
      <c r="E33" s="166"/>
      <c r="F33" s="166"/>
      <c r="G33" s="166"/>
      <c r="H33" s="166"/>
      <c r="I33" s="166"/>
      <c r="J33" s="166"/>
      <c r="K33" s="166"/>
      <c r="L33" s="166"/>
      <c r="M33" s="166"/>
      <c r="N33" s="65"/>
      <c r="O33" s="65"/>
    </row>
    <row r="34" spans="1:15">
      <c r="A34" s="65"/>
      <c r="B34" s="65"/>
      <c r="C34" s="65"/>
      <c r="D34" s="65"/>
      <c r="E34" s="65"/>
      <c r="F34" s="65"/>
      <c r="G34" s="65"/>
      <c r="H34" s="65"/>
      <c r="I34" s="65"/>
      <c r="J34" s="65"/>
      <c r="K34" s="65"/>
      <c r="L34" s="65"/>
      <c r="M34" s="65"/>
      <c r="N34" s="65"/>
      <c r="O34" s="65"/>
    </row>
    <row r="35" spans="1:15">
      <c r="A35" s="65"/>
      <c r="B35" s="65"/>
      <c r="C35" s="65"/>
      <c r="D35" s="65"/>
      <c r="E35" s="65"/>
      <c r="F35" s="65"/>
      <c r="G35" s="65"/>
      <c r="H35" s="65"/>
      <c r="I35" s="65"/>
      <c r="J35" s="65"/>
      <c r="K35" s="65"/>
      <c r="L35" s="65"/>
      <c r="M35" s="65"/>
      <c r="N35" s="65"/>
      <c r="O35" s="65"/>
    </row>
    <row r="36" spans="1:15">
      <c r="A36" s="146"/>
      <c r="B36" s="65"/>
      <c r="C36" s="65"/>
      <c r="D36" s="65"/>
      <c r="E36" s="65"/>
      <c r="F36" s="65"/>
      <c r="G36" s="65"/>
      <c r="H36" s="65"/>
      <c r="I36" s="65"/>
      <c r="J36" s="65"/>
      <c r="K36" s="65"/>
      <c r="L36" s="65"/>
      <c r="M36" s="65"/>
      <c r="N36" s="65"/>
      <c r="O36" s="65"/>
    </row>
    <row r="37" spans="1:15">
      <c r="A37" s="65"/>
      <c r="B37" s="65"/>
      <c r="C37" s="65"/>
      <c r="D37" s="65"/>
      <c r="E37" s="65"/>
      <c r="F37" s="65"/>
      <c r="G37" s="65"/>
      <c r="H37" s="65"/>
      <c r="I37" s="65"/>
      <c r="J37" s="65"/>
      <c r="K37" s="65"/>
      <c r="L37" s="65"/>
      <c r="M37" s="65"/>
      <c r="N37" s="65"/>
      <c r="O37" s="65"/>
    </row>
    <row r="38" spans="1:15">
      <c r="A38" s="65"/>
      <c r="B38" s="65"/>
      <c r="C38" s="65"/>
      <c r="D38" s="65"/>
      <c r="E38" s="65"/>
      <c r="F38" s="65"/>
      <c r="G38" s="65"/>
      <c r="H38" s="65"/>
      <c r="I38" s="65"/>
      <c r="J38" s="65"/>
      <c r="K38" s="65"/>
      <c r="L38" s="65"/>
      <c r="M38" s="65"/>
      <c r="N38" s="65"/>
      <c r="O38" s="65"/>
    </row>
    <row r="39" spans="1:15">
      <c r="A39" s="65"/>
      <c r="B39" s="65"/>
      <c r="C39" s="65"/>
      <c r="D39" s="65"/>
      <c r="E39" s="65"/>
      <c r="F39" s="65"/>
      <c r="G39" s="65"/>
      <c r="H39" s="65"/>
      <c r="I39" s="65"/>
      <c r="J39" s="65"/>
      <c r="K39" s="65"/>
      <c r="L39" s="65"/>
      <c r="M39" s="65"/>
      <c r="N39" s="65"/>
      <c r="O39" s="65"/>
    </row>
    <row r="40" spans="1:15">
      <c r="A40" s="65"/>
      <c r="B40" s="65"/>
      <c r="C40" s="65"/>
      <c r="D40" s="65"/>
      <c r="E40" s="65"/>
      <c r="F40" s="65"/>
      <c r="G40" s="65"/>
      <c r="H40" s="65"/>
      <c r="I40" s="65"/>
      <c r="J40" s="65"/>
      <c r="K40" s="65"/>
      <c r="L40" s="65"/>
      <c r="M40" s="65"/>
      <c r="N40" s="65"/>
      <c r="O40" s="65"/>
    </row>
    <row r="41" spans="1:15">
      <c r="A41" s="65"/>
      <c r="B41" s="65"/>
      <c r="C41" s="65"/>
      <c r="D41" s="65"/>
      <c r="E41" s="65"/>
      <c r="F41" s="65"/>
      <c r="G41" s="65"/>
      <c r="H41" s="65"/>
      <c r="I41" s="65"/>
      <c r="J41" s="65"/>
      <c r="K41" s="65"/>
      <c r="L41" s="65"/>
      <c r="M41" s="65"/>
      <c r="N41" s="65"/>
      <c r="O41" s="65"/>
    </row>
    <row r="42" spans="1:15">
      <c r="A42" s="65"/>
      <c r="B42" s="65"/>
      <c r="C42" s="65"/>
      <c r="D42" s="65"/>
      <c r="E42" s="65"/>
      <c r="F42" s="65"/>
      <c r="G42" s="65"/>
      <c r="H42" s="65"/>
      <c r="I42" s="65"/>
      <c r="J42" s="65"/>
      <c r="K42" s="65"/>
      <c r="L42" s="65"/>
      <c r="M42" s="65"/>
      <c r="N42" s="65"/>
      <c r="O42" s="65"/>
    </row>
  </sheetData>
  <mergeCells count="6">
    <mergeCell ref="A3:XFD3"/>
    <mergeCell ref="A4:M19"/>
    <mergeCell ref="A29:XFD29"/>
    <mergeCell ref="A30:M33"/>
    <mergeCell ref="A21:XFD21"/>
    <mergeCell ref="A22:M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BC113-FB74-4616-81D2-CA7A49468C87}">
  <dimension ref="A1:E27"/>
  <sheetViews>
    <sheetView zoomScaleNormal="100" workbookViewId="0">
      <selection activeCell="B25" sqref="B25"/>
    </sheetView>
  </sheetViews>
  <sheetFormatPr defaultRowHeight="14.45"/>
  <cols>
    <col min="1" max="1" width="53.5703125" customWidth="1"/>
    <col min="2" max="2" width="20.28515625" customWidth="1"/>
    <col min="3" max="3" width="14.140625" customWidth="1"/>
    <col min="4" max="4" width="16.85546875" customWidth="1"/>
    <col min="7" max="7" width="35.5703125" customWidth="1"/>
    <col min="8" max="8" width="12.140625" customWidth="1"/>
    <col min="9" max="9" width="11.5703125" customWidth="1"/>
    <col min="10" max="10" width="11.85546875" customWidth="1"/>
  </cols>
  <sheetData>
    <row r="1" spans="1:5" s="129" customFormat="1" ht="28.5">
      <c r="A1" s="130" t="s">
        <v>7</v>
      </c>
    </row>
    <row r="2" spans="1:5" s="129" customFormat="1" ht="13.5" customHeight="1">
      <c r="A2" s="130"/>
    </row>
    <row r="3" spans="1:5" s="129" customFormat="1" ht="48.95" customHeight="1">
      <c r="A3" s="167" t="s">
        <v>8</v>
      </c>
      <c r="B3" s="168"/>
    </row>
    <row r="5" spans="1:5" ht="18.95" customHeight="1">
      <c r="A5" s="165" t="s">
        <v>9</v>
      </c>
      <c r="B5" s="165"/>
    </row>
    <row r="6" spans="1:5" ht="45.95" customHeight="1">
      <c r="A6" s="169" t="s">
        <v>10</v>
      </c>
      <c r="B6" s="169"/>
      <c r="C6" s="45"/>
      <c r="D6" s="45"/>
      <c r="E6" s="45"/>
    </row>
    <row r="8" spans="1:5">
      <c r="A8" s="155" t="s">
        <v>11</v>
      </c>
      <c r="B8" s="156">
        <v>0.02</v>
      </c>
      <c r="D8" s="154"/>
    </row>
    <row r="9" spans="1:5">
      <c r="A9" s="125" t="s">
        <v>12</v>
      </c>
      <c r="B9" s="142">
        <v>50</v>
      </c>
      <c r="D9" s="154"/>
    </row>
    <row r="10" spans="1:5">
      <c r="A10" s="125" t="s">
        <v>13</v>
      </c>
      <c r="B10" s="142">
        <v>50</v>
      </c>
      <c r="D10" s="154"/>
    </row>
    <row r="11" spans="1:5">
      <c r="A11" s="141" t="s">
        <v>14</v>
      </c>
      <c r="B11" s="143">
        <v>20</v>
      </c>
      <c r="D11" s="154"/>
    </row>
    <row r="14" spans="1:5" ht="18.600000000000001">
      <c r="A14" s="161" t="s">
        <v>15</v>
      </c>
    </row>
    <row r="15" spans="1:5" ht="19.5" customHeight="1">
      <c r="A15" s="170" t="s">
        <v>16</v>
      </c>
      <c r="B15" s="170"/>
      <c r="C15" s="170"/>
      <c r="D15" s="170"/>
      <c r="E15" s="170"/>
    </row>
    <row r="16" spans="1:5" ht="20.100000000000001" customHeight="1">
      <c r="A16" t="s">
        <v>17</v>
      </c>
    </row>
    <row r="17" spans="1:5" ht="20.100000000000001" customHeight="1">
      <c r="A17" t="s">
        <v>18</v>
      </c>
    </row>
    <row r="18" spans="1:5" ht="20.100000000000001" customHeight="1">
      <c r="A18" t="s">
        <v>19</v>
      </c>
    </row>
    <row r="20" spans="1:5" ht="18.600000000000001">
      <c r="A20" s="161" t="s">
        <v>20</v>
      </c>
    </row>
    <row r="21" spans="1:5" ht="44.1" customHeight="1">
      <c r="A21" s="169" t="s">
        <v>21</v>
      </c>
      <c r="B21" s="169"/>
      <c r="C21" s="45"/>
      <c r="D21" s="45"/>
      <c r="E21" s="45"/>
    </row>
    <row r="22" spans="1:5" ht="13.5" customHeight="1">
      <c r="A22" s="157"/>
      <c r="B22" s="157"/>
      <c r="C22" s="45"/>
      <c r="D22" s="45"/>
      <c r="E22" s="45"/>
    </row>
    <row r="23" spans="1:5">
      <c r="A23" s="158" t="s">
        <v>22</v>
      </c>
      <c r="B23" s="159" t="s">
        <v>23</v>
      </c>
      <c r="C23" s="160" t="s">
        <v>24</v>
      </c>
    </row>
    <row r="24" spans="1:5">
      <c r="A24" s="125" t="s">
        <v>25</v>
      </c>
      <c r="B24" s="142" t="s">
        <v>26</v>
      </c>
      <c r="C24" s="154" t="s">
        <v>27</v>
      </c>
    </row>
    <row r="25" spans="1:5">
      <c r="A25" s="141" t="s">
        <v>28</v>
      </c>
      <c r="B25" s="143" t="s">
        <v>29</v>
      </c>
      <c r="C25" s="154" t="s">
        <v>30</v>
      </c>
    </row>
    <row r="26" spans="1:5">
      <c r="D26" s="154"/>
    </row>
    <row r="27" spans="1:5">
      <c r="D27" s="42"/>
    </row>
  </sheetData>
  <mergeCells count="5">
    <mergeCell ref="A5:B5"/>
    <mergeCell ref="A3:B3"/>
    <mergeCell ref="A21:B21"/>
    <mergeCell ref="A15:E15"/>
    <mergeCell ref="A6:B6"/>
  </mergeCells>
  <dataValidations count="5">
    <dataValidation type="list" allowBlank="1" showInputMessage="1" showErrorMessage="1" sqref="A8" xr:uid="{409AEC71-D0CF-4929-B1B1-D93FA1081F00}">
      <formula1>"0,02,0,03,0,04,0,045,0,05"</formula1>
    </dataValidation>
    <dataValidation type="list" allowBlank="1" showInputMessage="1" showErrorMessage="1" sqref="B23" xr:uid="{53AC3805-1769-4B17-91FC-A6490811DF6B}">
      <formula1>"Klei,Leem,Zandige leem,Fijn zand,Zand"</formula1>
    </dataValidation>
    <dataValidation type="list" allowBlank="1" showInputMessage="1" showErrorMessage="1" sqref="B24" xr:uid="{E384DCDD-73E2-40C5-AE40-AB6C586DEFFB}">
      <formula1>"Huidig scenario,Toekomstig scenario"</formula1>
    </dataValidation>
    <dataValidation type="list" allowBlank="1" showInputMessage="1" showErrorMessage="1" sqref="B25" xr:uid="{9F09F6FC-8D42-4313-943C-5A996265583C}">
      <formula1>"Huidig,Nieuw"</formula1>
    </dataValidation>
    <dataValidation type="list" allowBlank="1" showInputMessage="1" showErrorMessage="1" sqref="B8" xr:uid="{7E9FE8DB-D472-4836-846D-3DC691D61FB7}">
      <formula1>"2%,2,5%,3%,3,5%,4%,4,5%,5%"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EF4F-70C7-407F-880A-0887C995FA58}">
  <dimension ref="A1:P81"/>
  <sheetViews>
    <sheetView topLeftCell="A25" zoomScaleNormal="100" workbookViewId="0">
      <selection activeCell="A39" sqref="A39"/>
    </sheetView>
  </sheetViews>
  <sheetFormatPr defaultRowHeight="14.45"/>
  <cols>
    <col min="1" max="1" width="44.85546875" customWidth="1"/>
    <col min="2" max="2" width="12.85546875" customWidth="1"/>
    <col min="3" max="3" width="13.140625" customWidth="1"/>
    <col min="4" max="4" width="13.42578125" customWidth="1"/>
    <col min="9" max="9" width="8.7109375" customWidth="1"/>
  </cols>
  <sheetData>
    <row r="1" spans="1:16" s="129" customFormat="1" ht="28.5">
      <c r="A1" s="130" t="s">
        <v>31</v>
      </c>
    </row>
    <row r="3" spans="1:16" ht="22.5" customHeight="1">
      <c r="A3" s="136" t="s">
        <v>32</v>
      </c>
      <c r="B3" s="166" t="s">
        <v>33</v>
      </c>
      <c r="C3" s="166"/>
      <c r="D3" s="166"/>
      <c r="E3" s="166"/>
      <c r="F3" s="166"/>
      <c r="G3" s="166"/>
      <c r="H3" s="166"/>
      <c r="I3" s="166"/>
      <c r="J3" s="166"/>
      <c r="K3" s="166"/>
      <c r="L3" s="166"/>
      <c r="M3" s="166"/>
      <c r="N3" s="166"/>
      <c r="O3" s="166"/>
      <c r="P3" s="166"/>
    </row>
    <row r="4" spans="1:16" ht="21.6" customHeight="1">
      <c r="A4" s="137" t="s">
        <v>34</v>
      </c>
      <c r="B4" s="166"/>
      <c r="C4" s="166"/>
      <c r="D4" s="166"/>
      <c r="E4" s="166"/>
      <c r="F4" s="166"/>
      <c r="G4" s="166"/>
      <c r="H4" s="166"/>
      <c r="I4" s="166"/>
      <c r="J4" s="166"/>
      <c r="K4" s="166"/>
      <c r="L4" s="166"/>
      <c r="M4" s="166"/>
      <c r="N4" s="166"/>
      <c r="O4" s="166"/>
      <c r="P4" s="166"/>
    </row>
    <row r="5" spans="1:16" ht="21" customHeight="1">
      <c r="A5" s="138" t="s">
        <v>35</v>
      </c>
      <c r="B5" s="166"/>
      <c r="C5" s="166"/>
      <c r="D5" s="166"/>
      <c r="E5" s="166"/>
      <c r="F5" s="166"/>
      <c r="G5" s="166"/>
      <c r="H5" s="166"/>
      <c r="I5" s="166"/>
      <c r="J5" s="166"/>
      <c r="K5" s="166"/>
      <c r="L5" s="166"/>
      <c r="M5" s="166"/>
      <c r="N5" s="166"/>
      <c r="O5" s="166"/>
      <c r="P5" s="166"/>
    </row>
    <row r="6" spans="1:16">
      <c r="A6" s="100"/>
    </row>
    <row r="7" spans="1:16" s="171" customFormat="1" ht="21">
      <c r="A7" s="171" t="s">
        <v>36</v>
      </c>
    </row>
    <row r="9" spans="1:16">
      <c r="A9" s="134" t="s">
        <v>37</v>
      </c>
      <c r="B9" s="134" t="s">
        <v>38</v>
      </c>
      <c r="C9" s="134" t="s">
        <v>39</v>
      </c>
      <c r="D9" s="135" t="s">
        <v>40</v>
      </c>
    </row>
    <row r="10" spans="1:16">
      <c r="A10" s="139" t="s">
        <v>41</v>
      </c>
      <c r="B10" s="41">
        <f>Infiltratiepoel!C17</f>
        <v>8.5790865590631843E-3</v>
      </c>
      <c r="C10" s="41">
        <f>Infiltratiepoel!D17</f>
        <v>1.5149707347676532E-2</v>
      </c>
      <c r="D10" s="41">
        <f>Infiltratiepoel!E17</f>
        <v>1.1864396953369856E-2</v>
      </c>
    </row>
    <row r="11" spans="1:16">
      <c r="A11" s="139" t="s">
        <v>42</v>
      </c>
      <c r="B11" s="41">
        <f>'Peilgestuurde drainage'!C17</f>
        <v>8.7131686882701204E-2</v>
      </c>
      <c r="C11" s="41">
        <f>'Peilgestuurde drainage'!D17</f>
        <v>0.23229307722928136</v>
      </c>
      <c r="D11" s="41">
        <f>'Peilgestuurde drainage'!E17</f>
        <v>0.15971238205599131</v>
      </c>
    </row>
    <row r="12" spans="1:16">
      <c r="A12" s="139" t="s">
        <v>43</v>
      </c>
      <c r="B12" s="41">
        <f>'Buffer- en infiltratiegrachten'!C18</f>
        <v>0.13341884648491947</v>
      </c>
      <c r="C12" s="41">
        <f>'Buffer- en infiltratiegrachten'!D18</f>
        <v>0.26683769296983895</v>
      </c>
      <c r="D12" s="41">
        <f>'Buffer- en infiltratiegrachten'!E18</f>
        <v>0.20012826972737924</v>
      </c>
    </row>
    <row r="13" spans="1:16">
      <c r="A13" s="139" t="s">
        <v>44</v>
      </c>
      <c r="B13" s="41">
        <f>Stuwtjes!C18</f>
        <v>0.17789179531322599</v>
      </c>
      <c r="C13" s="41">
        <f>Stuwtjes!D18</f>
        <v>0.53367538593967789</v>
      </c>
      <c r="D13" s="41">
        <f>Stuwtjes!E18</f>
        <v>0.35578359062645198</v>
      </c>
    </row>
    <row r="14" spans="1:16">
      <c r="A14" s="140" t="s">
        <v>45</v>
      </c>
      <c r="B14" s="41">
        <f>'Dakgoot afkoppelen'!C16</f>
        <v>0.10408496136608118</v>
      </c>
      <c r="C14" s="41">
        <f>'Dakgoot afkoppelen'!D16</f>
        <v>0.22675776643489415</v>
      </c>
      <c r="D14" s="41">
        <f>'Dakgoot afkoppelen'!E16</f>
        <v>0.14576072612781363</v>
      </c>
    </row>
    <row r="15" spans="1:16" ht="29.1">
      <c r="A15" s="153" t="s">
        <v>46</v>
      </c>
      <c r="B15" s="41">
        <f>'Waterdoorlatende verharding (n)'!C16</f>
        <v>0</v>
      </c>
      <c r="C15" s="41">
        <f>'Waterdoorlatende verharding (n)'!D16</f>
        <v>0.69036221331965564</v>
      </c>
      <c r="D15" s="41">
        <f>'Waterdoorlatende verharding (n)'!E16</f>
        <v>0.28639723780976839</v>
      </c>
    </row>
    <row r="16" spans="1:16">
      <c r="A16" s="140" t="s">
        <v>47</v>
      </c>
      <c r="B16" s="41">
        <f>'Infiltratievelden- en stroken'!C17</f>
        <v>0.27324295863682119</v>
      </c>
      <c r="C16" s="41">
        <f>'Infiltratievelden- en stroken'!D17</f>
        <v>0.40596318740556736</v>
      </c>
      <c r="D16" s="41">
        <f>'Infiltratievelden- en stroken'!E17</f>
        <v>0.33960307302119425</v>
      </c>
    </row>
    <row r="17" spans="1:4">
      <c r="A17" s="140" t="s">
        <v>48</v>
      </c>
      <c r="B17" s="41">
        <f>Wadi!C17</f>
        <v>0.39616043687775698</v>
      </c>
      <c r="C17" s="41">
        <f>Wadi!D17</f>
        <v>0.54832865620874705</v>
      </c>
      <c r="D17" s="41">
        <f>Wadi!E17</f>
        <v>0.47224454654325199</v>
      </c>
    </row>
    <row r="18" spans="1:4">
      <c r="A18" s="140" t="s">
        <v>49</v>
      </c>
      <c r="B18" s="41">
        <f>'Ondiepe hor. ondergr. infilt.'!C40</f>
        <v>0.35354484153617599</v>
      </c>
      <c r="C18" s="41">
        <f>'Ondiepe hor. ondergr. infilt.'!D40</f>
        <v>0.82493796358441074</v>
      </c>
      <c r="D18" s="41">
        <f>'Ondiepe hor. ondergr. infilt.'!E40</f>
        <v>0.58924140256029334</v>
      </c>
    </row>
    <row r="19" spans="1:4">
      <c r="A19" s="140" t="s">
        <v>50</v>
      </c>
      <c r="B19" s="41">
        <f>'Ondiepe hor. ondergr. infilt.'!C29</f>
        <v>0.58924140256029334</v>
      </c>
      <c r="C19" s="41">
        <f>'Ondiepe hor. ondergr. infilt.'!D29</f>
        <v>1.885572488192939</v>
      </c>
      <c r="D19" s="41">
        <f>'Ondiepe hor. ondergr. infilt.'!E29</f>
        <v>1.2374069453766159</v>
      </c>
    </row>
    <row r="20" spans="1:4">
      <c r="A20" s="140" t="s">
        <v>51</v>
      </c>
      <c r="B20" s="41">
        <f>'Ondiepe hor. ondergr. infilt.'!C18</f>
        <v>1.7677242076808803</v>
      </c>
      <c r="C20" s="41">
        <f>'Ondiepe hor. ondergr. infilt.'!D18</f>
        <v>3.5354484153617607</v>
      </c>
      <c r="D20" s="41">
        <f>'Ondiepe hor. ondergr. infilt.'!E18</f>
        <v>2.9462070128014668</v>
      </c>
    </row>
    <row r="21" spans="1:4">
      <c r="A21" s="140" t="s">
        <v>52</v>
      </c>
      <c r="B21" s="41">
        <f>Ontharding!C16</f>
        <v>1.0490900503216176</v>
      </c>
      <c r="C21" s="41">
        <f>Ontharding!D16</f>
        <v>5.5045720595427952</v>
      </c>
      <c r="D21" s="41">
        <f>Ontharding!E16</f>
        <v>3.2768310549322059</v>
      </c>
    </row>
    <row r="22" spans="1:4">
      <c r="A22" s="140" t="s">
        <v>53</v>
      </c>
      <c r="B22" s="41">
        <f>'Vert. ondergr. infil.'!C17</f>
        <v>1.1431283209669691</v>
      </c>
      <c r="C22" s="41">
        <f>'Vert. ondergr. infil.'!D17</f>
        <v>6.1281105866270504</v>
      </c>
      <c r="D22" s="41">
        <f>'Vert. ondergr. infil.'!E17</f>
        <v>3.6356194537970103</v>
      </c>
    </row>
    <row r="23" spans="1:4">
      <c r="A23" s="140" t="s">
        <v>54</v>
      </c>
      <c r="B23" s="41"/>
      <c r="C23" s="41"/>
      <c r="D23" s="41">
        <f>'Ondiepe hor. ondergr. infilt.'!E51</f>
        <v>4.0426674146856607</v>
      </c>
    </row>
    <row r="24" spans="1:4" ht="29.1">
      <c r="A24" s="153" t="s">
        <v>55</v>
      </c>
      <c r="B24" s="41">
        <f>'Waterdoorlatende verharding (v)'!C16</f>
        <v>3.3349356746613781</v>
      </c>
      <c r="C24" s="41">
        <f>'Waterdoorlatende verharding (v)'!D16</f>
        <v>19.595588525748518</v>
      </c>
      <c r="D24" s="41">
        <f>'Waterdoorlatende verharding (v)'!E16</f>
        <v>10.412786301941642</v>
      </c>
    </row>
    <row r="26" spans="1:4" s="97" customFormat="1" ht="15.6">
      <c r="A26" s="42"/>
      <c r="B26"/>
      <c r="C26"/>
      <c r="D26"/>
    </row>
    <row r="39" spans="1:4" s="149" customFormat="1" ht="19.5" customHeight="1">
      <c r="A39" s="150" t="s">
        <v>56</v>
      </c>
      <c r="B39" s="148"/>
      <c r="C39" s="148"/>
      <c r="D39" s="148"/>
    </row>
    <row r="41" spans="1:4">
      <c r="A41" s="134" t="s">
        <v>37</v>
      </c>
      <c r="B41" s="134" t="s">
        <v>38</v>
      </c>
      <c r="C41" s="134" t="s">
        <v>39</v>
      </c>
      <c r="D41" s="135" t="s">
        <v>40</v>
      </c>
    </row>
    <row r="42" spans="1:4">
      <c r="A42" s="139" t="s">
        <v>42</v>
      </c>
      <c r="B42" s="57">
        <f>'Peilgestuurde drainage'!C17</f>
        <v>8.7131686882701204E-2</v>
      </c>
      <c r="C42" s="57">
        <f>'Peilgestuurde drainage'!D17</f>
        <v>0.23229307722928136</v>
      </c>
      <c r="D42" s="57">
        <f>'Peilgestuurde drainage'!E17</f>
        <v>0.15971238205599131</v>
      </c>
    </row>
    <row r="43" spans="1:4">
      <c r="A43" s="139" t="s">
        <v>57</v>
      </c>
      <c r="B43" s="57">
        <f>Erosiebestrijdingsmaatregel!C47</f>
        <v>3.4183427105182899E-2</v>
      </c>
      <c r="C43" s="57">
        <f>Erosiebestrijdingsmaatregel!D47</f>
        <v>1.2781878516444358</v>
      </c>
      <c r="D43" s="57">
        <f>Erosiebestrijdingsmaatregel!E47</f>
        <v>0.65618563937480945</v>
      </c>
    </row>
    <row r="44" spans="1:4">
      <c r="A44" s="139" t="s">
        <v>44</v>
      </c>
      <c r="B44" s="56">
        <f>Stuwtjes!C17</f>
        <v>0.45540299600185852</v>
      </c>
      <c r="C44" s="56">
        <f>Stuwtjes!D17</f>
        <v>1.3662089880055754</v>
      </c>
      <c r="D44" s="56">
        <f>Stuwtjes!E17</f>
        <v>0.91080599200371704</v>
      </c>
    </row>
    <row r="45" spans="1:4">
      <c r="A45" s="139" t="s">
        <v>41</v>
      </c>
      <c r="B45" s="41">
        <f>Infiltratiepoel!C18</f>
        <v>0.6731217774666538</v>
      </c>
      <c r="C45" s="41">
        <f>Infiltratiepoel!D18</f>
        <v>1.1886577746665383</v>
      </c>
      <c r="D45" s="41">
        <f>Infiltratiepoel!E18</f>
        <v>0.93088977606659595</v>
      </c>
    </row>
    <row r="46" spans="1:4">
      <c r="A46" s="139" t="s">
        <v>43</v>
      </c>
      <c r="B46" s="41">
        <f>'Buffer- en infiltratiegrachten'!C17</f>
        <v>1.0673507718793558</v>
      </c>
      <c r="C46" s="41">
        <f>'Buffer- en infiltratiegrachten'!D17</f>
        <v>2.1347015437587116</v>
      </c>
      <c r="D46" s="41">
        <f>'Buffer- en infiltratiegrachten'!E17</f>
        <v>1.6010261578190339</v>
      </c>
    </row>
    <row r="47" spans="1:4">
      <c r="A47" s="139" t="s">
        <v>58</v>
      </c>
      <c r="B47" s="57">
        <f>Erosiebestrijdingsmaatregel!C20</f>
        <v>0.98961415852560941</v>
      </c>
      <c r="C47" s="57">
        <f>Erosiebestrijdingsmaatregel!D20</f>
        <v>2.9688424755768286</v>
      </c>
      <c r="D47" s="57">
        <f>Erosiebestrijdingsmaatregel!E20</f>
        <v>1.9792283170512188</v>
      </c>
    </row>
    <row r="48" spans="1:4">
      <c r="A48" s="139" t="s">
        <v>59</v>
      </c>
      <c r="B48" s="41"/>
      <c r="C48" s="41"/>
      <c r="D48" s="41">
        <f>Koolstofgehalte!E17</f>
        <v>21.525811090130098</v>
      </c>
    </row>
    <row r="49" spans="1:4">
      <c r="A49" s="140" t="s">
        <v>47</v>
      </c>
      <c r="B49" s="41">
        <f>'Infiltratievelden- en stroken'!C18</f>
        <v>4.8724668659922283</v>
      </c>
      <c r="C49" s="41">
        <f>'Infiltratievelden- en stroken'!D18</f>
        <v>7.2391332216370863</v>
      </c>
      <c r="D49" s="41">
        <f>'Infiltratievelden- en stroken'!E18</f>
        <v>6.0558000438146573</v>
      </c>
    </row>
    <row r="50" spans="1:4">
      <c r="A50" s="140" t="s">
        <v>48</v>
      </c>
      <c r="B50" s="41">
        <f>Wadi!C18</f>
        <v>7.0296744915811935</v>
      </c>
      <c r="C50" s="41">
        <f>Wadi!D18</f>
        <v>9.7298256179554485</v>
      </c>
      <c r="D50" s="41">
        <f>Wadi!E18</f>
        <v>8.379750054768321</v>
      </c>
    </row>
    <row r="51" spans="1:4">
      <c r="A51" s="140" t="s">
        <v>49</v>
      </c>
      <c r="B51" s="41">
        <f>'Ondiepe hor. ondergr. infilt.'!C41</f>
        <v>6.2734814555544851</v>
      </c>
      <c r="C51" s="41">
        <f>'Ondiepe hor. ondergr. infilt.'!D41</f>
        <v>14.6381233962938</v>
      </c>
      <c r="D51" s="41">
        <f>'Ondiepe hor. ondergr. infilt.'!E41</f>
        <v>10.455802425924141</v>
      </c>
    </row>
    <row r="52" spans="1:4" s="98" customFormat="1" ht="15.6">
      <c r="A52" s="140" t="s">
        <v>50</v>
      </c>
      <c r="B52" s="41">
        <f>'Ondiepe hor. ondergr. infilt.'!C30</f>
        <v>10.455802425924141</v>
      </c>
      <c r="C52" s="41">
        <f>'Ondiepe hor. ondergr. infilt.'!D30</f>
        <v>33.458567762957259</v>
      </c>
      <c r="D52" s="41">
        <f>'Ondiepe hor. ondergr. infilt.'!E30</f>
        <v>21.957185094440696</v>
      </c>
    </row>
    <row r="53" spans="1:4">
      <c r="A53" s="140" t="s">
        <v>60</v>
      </c>
      <c r="B53" s="41">
        <f>'Hemelwaterputten (hh)'!C21</f>
        <v>9.2597329187466215</v>
      </c>
      <c r="C53" s="41">
        <f>'Hemelwaterputten (hh)'!D21</f>
        <v>52.62819772746959</v>
      </c>
      <c r="D53" s="41">
        <f>'Hemelwaterputten (hh)'!E21</f>
        <v>28.73599642126165</v>
      </c>
    </row>
    <row r="54" spans="1:4">
      <c r="A54" s="140" t="s">
        <v>61</v>
      </c>
      <c r="D54" s="41">
        <f>'Hemelwaterputten (industrie)'!E17</f>
        <v>39.589096900317564</v>
      </c>
    </row>
    <row r="55" spans="1:4">
      <c r="A55" s="140" t="s">
        <v>51</v>
      </c>
      <c r="B55" s="41">
        <f>'Ondiepe hor. ondergr. infilt.'!C19</f>
        <v>31.367407277772429</v>
      </c>
      <c r="C55" s="41">
        <f>'Ondiepe hor. ondergr. infilt.'!D19</f>
        <v>62.734814555544858</v>
      </c>
      <c r="D55" s="41">
        <f>'Ondiepe hor. ondergr. infilt.'!E19</f>
        <v>52.27901212962071</v>
      </c>
    </row>
    <row r="56" spans="1:4">
      <c r="A56" s="140" t="s">
        <v>53</v>
      </c>
      <c r="B56" s="41">
        <f>'Vert. ondergr. infil.'!C18</f>
        <v>20.284256706292837</v>
      </c>
      <c r="C56" s="41">
        <f>'Vert. ondergr. infil.'!D18</f>
        <v>108.74034522961107</v>
      </c>
      <c r="D56" s="41">
        <f>'Vert. ondergr. infil.'!E18</f>
        <v>64.512300967951958</v>
      </c>
    </row>
    <row r="57" spans="1:4">
      <c r="A57" s="140" t="s">
        <v>54</v>
      </c>
      <c r="D57" s="41">
        <f>'Ondiepe hor. ondergr. infilt.'!E52</f>
        <v>71.735169283780351</v>
      </c>
    </row>
    <row r="70" spans="1:4" s="152" customFormat="1" ht="21">
      <c r="A70" s="151" t="s">
        <v>62</v>
      </c>
      <c r="B70" s="151"/>
      <c r="C70" s="151"/>
      <c r="D70" s="151"/>
    </row>
    <row r="72" spans="1:4">
      <c r="A72" s="134" t="s">
        <v>37</v>
      </c>
      <c r="B72" s="134" t="s">
        <v>38</v>
      </c>
      <c r="C72" s="134" t="s">
        <v>39</v>
      </c>
      <c r="D72" s="135" t="s">
        <v>40</v>
      </c>
    </row>
    <row r="73" spans="1:4">
      <c r="A73" s="144" t="s">
        <v>63</v>
      </c>
      <c r="B73" s="56">
        <f>'Pomp-installaties aan sluizen'!C15</f>
        <v>7.7000000000000002E-3</v>
      </c>
      <c r="C73" s="56">
        <f>'Pomp-installaties aan sluizen'!D15</f>
        <v>0.03</v>
      </c>
      <c r="D73" s="56">
        <f>'Pomp-installaties aan sluizen'!E15</f>
        <v>1.6424999999999999E-2</v>
      </c>
    </row>
    <row r="74" spans="1:4">
      <c r="A74" s="139" t="s">
        <v>42</v>
      </c>
      <c r="B74" s="41">
        <f>'Peilgestuurde drainage'!C18</f>
        <v>9.2940466008214623E-2</v>
      </c>
      <c r="C74" s="41">
        <f>'Peilgestuurde drainage'!D18</f>
        <v>0.24777928237790015</v>
      </c>
      <c r="D74" s="41">
        <f>'Peilgestuurde drainage'!E18</f>
        <v>0.1703598741930574</v>
      </c>
    </row>
    <row r="75" spans="1:4">
      <c r="A75" s="139" t="s">
        <v>64</v>
      </c>
      <c r="B75" s="41">
        <f>Spaarbekkens!C17</f>
        <v>0.6064365407036002</v>
      </c>
      <c r="C75" s="41">
        <f>Spaarbekkens!D17</f>
        <v>1.1835968346146131</v>
      </c>
      <c r="D75" s="41">
        <f>Spaarbekkens!E17</f>
        <v>0.87410508280725818</v>
      </c>
    </row>
    <row r="76" spans="1:4">
      <c r="A76" s="140" t="s">
        <v>65</v>
      </c>
      <c r="B76" s="41">
        <f>'Waterhergebruik hoge kwaliteit'!C16</f>
        <v>0.8</v>
      </c>
      <c r="C76" s="41">
        <f>'Waterhergebruik hoge kwaliteit'!D16</f>
        <v>4.138461538461538</v>
      </c>
      <c r="D76" s="41">
        <f>'Waterhergebruik hoge kwaliteit'!E16</f>
        <v>1.3384615384615384</v>
      </c>
    </row>
    <row r="77" spans="1:4">
      <c r="A77" s="140" t="s">
        <v>66</v>
      </c>
      <c r="B77" s="41">
        <f>Wateraudit!C16</f>
        <v>0.89061222292253173</v>
      </c>
      <c r="C77" s="41">
        <f>Wateraudit!D16</f>
        <v>3.5624488916901269</v>
      </c>
      <c r="D77" s="41">
        <f>Wateraudit!E16</f>
        <v>2.2265305573063294</v>
      </c>
    </row>
    <row r="78" spans="1:4">
      <c r="A78" s="140" t="s">
        <v>67</v>
      </c>
      <c r="B78" s="41">
        <f>'Waterhergebruik lage kwaliteit'!C16</f>
        <v>0.84999999999999987</v>
      </c>
      <c r="C78" s="41">
        <f>'Waterhergebruik lage kwaliteit'!D16</f>
        <v>10.049999999999999</v>
      </c>
      <c r="D78" s="41">
        <f>'Waterhergebruik lage kwaliteit'!E16</f>
        <v>2.25</v>
      </c>
    </row>
    <row r="79" spans="1:4">
      <c r="A79" s="140" t="s">
        <v>68</v>
      </c>
      <c r="B79" s="41">
        <f>'Hemelwaterputten (industrie)'!C16</f>
        <v>3.8383085872326079</v>
      </c>
      <c r="C79" s="41">
        <f>'Hemelwaterputten (industrie)'!D16</f>
        <v>6.0462774890790607</v>
      </c>
      <c r="D79" s="41">
        <f>'Hemelwaterputten (industrie)'!E16</f>
        <v>4.279902367601899</v>
      </c>
    </row>
    <row r="80" spans="1:4">
      <c r="A80" s="139" t="s">
        <v>69</v>
      </c>
      <c r="B80" s="41">
        <f>'Waterefficiënt beregenen'!C16</f>
        <v>6.8656503116078937</v>
      </c>
      <c r="C80" s="41">
        <f>'Waterefficiënt beregenen'!D16</f>
        <v>7.5884239429158118</v>
      </c>
      <c r="D80" s="41">
        <f>'Waterefficiënt beregenen'!E16</f>
        <v>7.227037127261851</v>
      </c>
    </row>
    <row r="81" spans="1:4">
      <c r="A81" s="140" t="s">
        <v>70</v>
      </c>
      <c r="B81" s="41">
        <f>'Hemelwaterputten (hh)'!C20</f>
        <v>2.777919875623986</v>
      </c>
      <c r="C81" s="41">
        <f>'Hemelwaterputten (hh)'!D20</f>
        <v>15.788459318240877</v>
      </c>
      <c r="D81" s="41">
        <f>'Hemelwaterputten (hh)'!E20</f>
        <v>8.6207989263784963</v>
      </c>
    </row>
  </sheetData>
  <mergeCells count="2">
    <mergeCell ref="A7:XFD7"/>
    <mergeCell ref="B3:P5"/>
  </mergeCells>
  <pageMargins left="0.7" right="0.7" top="0.75" bottom="0.75" header="0.3" footer="0.3"/>
  <pageSetup paperSize="9"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A3A4-6998-4C84-9AE7-C55BE4F9E505}">
  <sheetPr codeName="Sheet1">
    <tabColor rgb="FFFEF5D2"/>
  </sheetPr>
  <dimension ref="A1:O28"/>
  <sheetViews>
    <sheetView zoomScaleNormal="100" workbookViewId="0">
      <selection activeCell="D8" sqref="D8:E8"/>
    </sheetView>
  </sheetViews>
  <sheetFormatPr defaultRowHeight="14.45"/>
  <cols>
    <col min="1" max="1" width="23" customWidth="1"/>
    <col min="2" max="4" width="16.140625" customWidth="1"/>
    <col min="5" max="5" width="13.5703125" customWidth="1"/>
    <col min="12" max="12" width="0.85546875" customWidth="1"/>
    <col min="13" max="13" width="75.5703125" style="12" customWidth="1"/>
    <col min="15" max="15" width="111.85546875" customWidth="1"/>
  </cols>
  <sheetData>
    <row r="1" spans="1:15" ht="18.600000000000001">
      <c r="A1" s="186" t="s">
        <v>48</v>
      </c>
      <c r="B1" s="186"/>
      <c r="C1" s="186"/>
      <c r="D1" s="186"/>
      <c r="E1" s="186"/>
      <c r="F1" s="186"/>
      <c r="G1" s="186"/>
      <c r="H1" s="186"/>
      <c r="I1" s="186"/>
      <c r="J1" s="186"/>
      <c r="K1" s="186"/>
      <c r="L1" s="186"/>
      <c r="M1" s="186"/>
    </row>
    <row r="2" spans="1:15" ht="15.6">
      <c r="A2" s="197" t="s">
        <v>71</v>
      </c>
      <c r="B2" s="197"/>
      <c r="C2" s="197"/>
      <c r="D2" s="197"/>
      <c r="E2" s="197"/>
      <c r="F2" s="197"/>
      <c r="G2" s="197"/>
      <c r="H2" s="197"/>
      <c r="I2" s="197"/>
      <c r="J2" s="197"/>
      <c r="K2" s="197"/>
      <c r="L2" s="197"/>
      <c r="M2" s="197"/>
    </row>
    <row r="3" spans="1:15">
      <c r="A3" s="175" t="s">
        <v>72</v>
      </c>
      <c r="B3" s="175"/>
      <c r="C3" s="175"/>
      <c r="D3" s="175"/>
      <c r="E3" s="175"/>
      <c r="F3" s="175"/>
      <c r="G3" s="175"/>
      <c r="H3" s="175"/>
      <c r="I3" s="175"/>
      <c r="J3" s="175"/>
      <c r="K3" s="175"/>
      <c r="L3" s="175"/>
      <c r="M3" s="175"/>
    </row>
    <row r="4" spans="1:15" ht="37.5" customHeight="1">
      <c r="A4" s="196" t="s">
        <v>73</v>
      </c>
      <c r="B4" s="196"/>
      <c r="C4" s="196"/>
      <c r="D4" s="196"/>
      <c r="E4" s="196"/>
      <c r="F4" s="196"/>
      <c r="G4" s="196"/>
      <c r="H4" s="196"/>
      <c r="I4" s="196"/>
      <c r="J4" s="196"/>
      <c r="K4" s="196"/>
      <c r="L4" s="196"/>
      <c r="M4" s="196"/>
    </row>
    <row r="5" spans="1:15">
      <c r="A5" s="187" t="s">
        <v>74</v>
      </c>
      <c r="B5" s="187"/>
      <c r="C5" s="187"/>
      <c r="D5" s="187"/>
      <c r="E5" s="187"/>
      <c r="F5" s="187"/>
      <c r="G5" s="187"/>
      <c r="H5" s="187"/>
      <c r="I5" s="187"/>
      <c r="J5" s="187"/>
      <c r="K5" s="187"/>
      <c r="L5" s="187"/>
      <c r="M5" s="187"/>
    </row>
    <row r="6" spans="1:15">
      <c r="A6" s="31" t="s">
        <v>75</v>
      </c>
      <c r="B6" s="178" t="s">
        <v>76</v>
      </c>
      <c r="C6" s="178"/>
      <c r="D6" s="184" t="s">
        <v>77</v>
      </c>
      <c r="E6" s="184"/>
      <c r="F6" s="185" t="s">
        <v>78</v>
      </c>
      <c r="G6" s="185"/>
      <c r="H6" s="185"/>
      <c r="I6" s="185"/>
      <c r="J6" s="185"/>
      <c r="K6" s="185"/>
      <c r="L6" s="185"/>
      <c r="M6" s="1" t="s">
        <v>79</v>
      </c>
    </row>
    <row r="7" spans="1:15" ht="29.1" customHeight="1">
      <c r="A7" s="3" t="s">
        <v>80</v>
      </c>
      <c r="B7" s="177" t="s">
        <v>81</v>
      </c>
      <c r="C7" s="177"/>
      <c r="D7" s="195" cm="1">
        <f t="array" ref="D7">(_xlfn.XLOOKUP(A2&amp;'Parameters &amp; assumpties'!B25&amp;'Parameters &amp; assumpties'!B24&amp;'Parameters &amp; assumpties'!B23,InputSirio[Key],InputSirio[total_buffervolume],_xludf.N/A,0,1)/10000)</f>
        <v>3.3000000000000002E-2</v>
      </c>
      <c r="E7" s="195"/>
      <c r="F7" s="190" t="s">
        <v>82</v>
      </c>
      <c r="G7" s="191"/>
      <c r="H7" s="191"/>
      <c r="I7" s="191"/>
      <c r="J7" s="191"/>
      <c r="K7" s="191"/>
      <c r="L7" s="191"/>
      <c r="M7" s="58"/>
    </row>
    <row r="8" spans="1:15" ht="45" customHeight="1">
      <c r="A8" s="3" t="s">
        <v>83</v>
      </c>
      <c r="B8" s="177" t="s">
        <v>81</v>
      </c>
      <c r="C8" s="177"/>
      <c r="D8" s="195" cm="1">
        <f t="array" ref="D8">_xlfn.XLOOKUP(A2&amp;'Parameters &amp; assumpties'!B25&amp;'Parameters &amp; assumpties'!B24&amp;'Parameters &amp; assumpties'!B23,InputSirio[Key],InputSirio[MASS_infiltratie (m3/m2 afwaterend opp/jaar)],_xludf.N/A,0,1)</f>
        <v>0.5855689680940076</v>
      </c>
      <c r="E8" s="195"/>
      <c r="F8" s="192" t="s">
        <v>84</v>
      </c>
      <c r="G8" s="193"/>
      <c r="H8" s="193"/>
      <c r="I8" s="193"/>
      <c r="J8" s="193"/>
      <c r="K8" s="193"/>
      <c r="L8" s="194"/>
      <c r="M8" s="111"/>
    </row>
    <row r="9" spans="1:15">
      <c r="A9" s="175" t="s">
        <v>85</v>
      </c>
      <c r="B9" s="175"/>
      <c r="C9" s="175"/>
      <c r="D9" s="175"/>
      <c r="E9" s="175"/>
      <c r="F9" s="175"/>
      <c r="G9" s="175"/>
      <c r="H9" s="175"/>
      <c r="I9" s="175"/>
      <c r="J9" s="175"/>
      <c r="K9" s="175"/>
      <c r="L9" s="175"/>
      <c r="M9" s="175"/>
    </row>
    <row r="10" spans="1:15">
      <c r="A10" s="31" t="s">
        <v>75</v>
      </c>
      <c r="B10" s="31" t="s">
        <v>76</v>
      </c>
      <c r="C10" s="31" t="s">
        <v>38</v>
      </c>
      <c r="D10" s="31" t="s">
        <v>39</v>
      </c>
      <c r="E10" s="1" t="s">
        <v>40</v>
      </c>
      <c r="F10" s="185" t="s">
        <v>78</v>
      </c>
      <c r="G10" s="185"/>
      <c r="H10" s="185"/>
      <c r="I10" s="185"/>
      <c r="J10" s="185"/>
      <c r="K10" s="185"/>
      <c r="L10" s="185"/>
      <c r="M10" s="1" t="s">
        <v>79</v>
      </c>
    </row>
    <row r="11" spans="1:15">
      <c r="A11" s="3" t="s">
        <v>86</v>
      </c>
      <c r="B11" s="3" t="s">
        <v>87</v>
      </c>
      <c r="C11" s="3"/>
      <c r="D11" s="3"/>
      <c r="E11" s="59">
        <f>'Parameters &amp; assumpties'!B10</f>
        <v>50</v>
      </c>
      <c r="F11" s="177" t="s">
        <v>88</v>
      </c>
      <c r="G11" s="177"/>
      <c r="H11" s="177"/>
      <c r="I11" s="177"/>
      <c r="J11" s="177"/>
      <c r="K11" s="177"/>
      <c r="L11" s="177"/>
      <c r="M11" s="3"/>
    </row>
    <row r="12" spans="1:15" ht="75.599999999999994" customHeight="1">
      <c r="A12" s="3" t="s">
        <v>89</v>
      </c>
      <c r="B12" s="3" t="s">
        <v>90</v>
      </c>
      <c r="C12" s="68" cm="1">
        <f t="array" ref="C12">75*(_xlfn.XLOOKUP(A2&amp;'Parameters &amp; assumpties'!B25&amp;'Parameters &amp; assumpties'!B24&amp;'Parameters &amp; assumpties'!B23,InputSirio[Key],InputSirio[infiltratieoppervlakte wanden],_xludf.N/A,0,1)/10000)</f>
        <v>6</v>
      </c>
      <c r="D12" s="68" cm="1">
        <f t="array" ref="D12">110*(_xlfn.XLOOKUP(A2&amp;'Parameters &amp; assumpties'!B25&amp;'Parameters &amp; assumpties'!B24&amp;'Parameters &amp; assumpties'!B23,InputSirio[Key],InputSirio[infiltratieoppervlakte wanden],_xludf.N/A,0,1)/10000)</f>
        <v>8.8000000000000007</v>
      </c>
      <c r="E12" s="68">
        <f>AVERAGE(C12:D12)</f>
        <v>7.4</v>
      </c>
      <c r="F12" s="188" t="s">
        <v>91</v>
      </c>
      <c r="G12" s="189"/>
      <c r="H12" s="189"/>
      <c r="I12" s="189"/>
      <c r="J12" s="189"/>
      <c r="K12" s="189"/>
      <c r="L12" s="189"/>
      <c r="M12" s="43" t="s">
        <v>92</v>
      </c>
      <c r="N12" s="42"/>
      <c r="O12" s="105"/>
    </row>
    <row r="13" spans="1:15" ht="87.95" customHeight="1">
      <c r="A13" s="73" t="s">
        <v>93</v>
      </c>
      <c r="B13" s="3" t="s">
        <v>90</v>
      </c>
      <c r="C13" s="59"/>
      <c r="D13" s="59"/>
      <c r="E13" s="59">
        <f>0.04*1.026</f>
        <v>4.104E-2</v>
      </c>
      <c r="F13" s="176" t="s">
        <v>94</v>
      </c>
      <c r="G13" s="176"/>
      <c r="H13" s="176"/>
      <c r="I13" s="176"/>
      <c r="J13" s="176"/>
      <c r="K13" s="176"/>
      <c r="L13" s="176"/>
      <c r="M13" s="34" t="s">
        <v>95</v>
      </c>
      <c r="O13" s="42"/>
    </row>
    <row r="14" spans="1:15" ht="29.1">
      <c r="A14" s="73" t="s">
        <v>96</v>
      </c>
      <c r="B14" s="3" t="s">
        <v>90</v>
      </c>
      <c r="C14" s="78">
        <f>(-PMT('Parameters &amp; assumpties'!$B$8,Wadi!$E$11,Wadi!C12))+Wadi!E13</f>
        <v>0.23197925822217941</v>
      </c>
      <c r="D14" s="78">
        <f>(-PMT('Parameters &amp; assumpties'!$B$8,Wadi!$E$11,Wadi!D12))+Wadi!E13</f>
        <v>0.32108424539252983</v>
      </c>
      <c r="E14" s="78">
        <f>(-PMT('Parameters &amp; assumpties'!$B$8,Wadi!$E$11,Wadi!E12))+Wadi!E13</f>
        <v>0.27653175180735462</v>
      </c>
      <c r="F14" s="179"/>
      <c r="G14" s="179"/>
      <c r="H14" s="179"/>
      <c r="I14" s="179"/>
      <c r="J14" s="179"/>
      <c r="K14" s="179"/>
      <c r="L14" s="179"/>
      <c r="M14" s="23"/>
    </row>
    <row r="15" spans="1:15">
      <c r="A15" s="180" t="s">
        <v>97</v>
      </c>
      <c r="B15" s="181"/>
      <c r="C15" s="181"/>
      <c r="D15" s="181"/>
      <c r="E15" s="181"/>
      <c r="F15" s="181"/>
      <c r="G15" s="181"/>
      <c r="H15" s="181"/>
      <c r="I15" s="181"/>
      <c r="J15" s="181"/>
      <c r="K15" s="181"/>
      <c r="L15" s="181"/>
      <c r="M15" s="182"/>
    </row>
    <row r="16" spans="1:15">
      <c r="A16" s="31" t="s">
        <v>75</v>
      </c>
      <c r="B16" s="31" t="s">
        <v>76</v>
      </c>
      <c r="C16" s="80" t="s">
        <v>38</v>
      </c>
      <c r="D16" s="80" t="s">
        <v>39</v>
      </c>
      <c r="E16" s="81" t="s">
        <v>40</v>
      </c>
      <c r="F16" s="178" t="s">
        <v>98</v>
      </c>
      <c r="G16" s="178"/>
      <c r="H16" s="178"/>
      <c r="I16" s="178"/>
      <c r="J16" s="178"/>
      <c r="K16" s="178"/>
      <c r="L16" s="178"/>
      <c r="M16" s="1"/>
    </row>
    <row r="17" spans="1:13" ht="33" customHeight="1">
      <c r="A17" s="3" t="s">
        <v>99</v>
      </c>
      <c r="B17" s="3" t="s">
        <v>100</v>
      </c>
      <c r="C17" s="82">
        <f>C14/$D$8</f>
        <v>0.39616043687775698</v>
      </c>
      <c r="D17" s="82">
        <f t="shared" ref="D17" si="0">D14/$D$8</f>
        <v>0.54832865620874705</v>
      </c>
      <c r="E17" s="82">
        <f>E14/$D$8</f>
        <v>0.47224454654325199</v>
      </c>
      <c r="F17" s="177" t="s">
        <v>101</v>
      </c>
      <c r="G17" s="177"/>
      <c r="H17" s="177"/>
      <c r="I17" s="177"/>
      <c r="J17" s="177"/>
      <c r="K17" s="177"/>
      <c r="L17" s="177"/>
      <c r="M17" s="15"/>
    </row>
    <row r="18" spans="1:13" ht="40.700000000000003" customHeight="1">
      <c r="A18" s="3" t="s">
        <v>102</v>
      </c>
      <c r="B18" s="3" t="s">
        <v>103</v>
      </c>
      <c r="C18" s="51">
        <f>C14/$D$7</f>
        <v>7.0296744915811935</v>
      </c>
      <c r="D18" s="51">
        <f t="shared" ref="D18" si="1">D14/$D$7</f>
        <v>9.7298256179554485</v>
      </c>
      <c r="E18" s="51">
        <f>E14/$D$7</f>
        <v>8.379750054768321</v>
      </c>
      <c r="F18" s="177" t="s">
        <v>104</v>
      </c>
      <c r="G18" s="177"/>
      <c r="H18" s="177"/>
      <c r="I18" s="177"/>
      <c r="J18" s="177"/>
      <c r="K18" s="177"/>
      <c r="L18" s="177"/>
      <c r="M18" s="15"/>
    </row>
    <row r="19" spans="1:13">
      <c r="A19" s="175" t="s">
        <v>105</v>
      </c>
      <c r="B19" s="175"/>
      <c r="C19" s="175"/>
      <c r="D19" s="175"/>
      <c r="E19" s="175"/>
      <c r="F19" s="175"/>
      <c r="G19" s="175"/>
      <c r="H19" s="175"/>
      <c r="I19" s="175"/>
      <c r="J19" s="175"/>
      <c r="K19" s="175"/>
      <c r="L19" s="175"/>
      <c r="M19" s="175"/>
    </row>
    <row r="20" spans="1:13" ht="69" customHeight="1">
      <c r="A20" s="172" t="s">
        <v>106</v>
      </c>
      <c r="B20" s="173"/>
      <c r="C20" s="173"/>
      <c r="D20" s="173"/>
      <c r="E20" s="173"/>
      <c r="F20" s="173"/>
      <c r="G20" s="173"/>
      <c r="H20" s="173"/>
      <c r="I20" s="173"/>
      <c r="J20" s="173"/>
      <c r="K20" s="173"/>
      <c r="L20" s="173"/>
      <c r="M20" s="174"/>
    </row>
    <row r="21" spans="1:13">
      <c r="A21" s="175" t="s">
        <v>107</v>
      </c>
      <c r="B21" s="175"/>
      <c r="C21" s="175"/>
      <c r="D21" s="175"/>
      <c r="E21" s="175"/>
      <c r="F21" s="175"/>
      <c r="G21" s="175"/>
      <c r="H21" s="175"/>
      <c r="I21" s="175"/>
      <c r="J21" s="175"/>
      <c r="K21" s="175"/>
      <c r="L21" s="175"/>
      <c r="M21" s="175"/>
    </row>
    <row r="22" spans="1:13">
      <c r="A22" s="75" t="s">
        <v>108</v>
      </c>
      <c r="B22" s="76" t="s">
        <v>109</v>
      </c>
      <c r="C22" s="183" t="s">
        <v>110</v>
      </c>
      <c r="D22" s="183"/>
      <c r="E22" s="183"/>
      <c r="F22" s="183"/>
      <c r="G22" s="183"/>
      <c r="H22" s="183"/>
      <c r="I22" s="183"/>
      <c r="J22" s="183"/>
      <c r="K22" s="183"/>
      <c r="L22" s="183"/>
      <c r="M22" s="47" t="s">
        <v>78</v>
      </c>
    </row>
    <row r="23" spans="1:13" ht="14.45" customHeight="1">
      <c r="A23" s="3" t="s">
        <v>111</v>
      </c>
      <c r="B23" s="5" t="s">
        <v>112</v>
      </c>
      <c r="C23" s="177" t="s">
        <v>113</v>
      </c>
      <c r="D23" s="177"/>
      <c r="E23" s="177"/>
      <c r="F23" s="177"/>
      <c r="G23" s="177"/>
      <c r="H23" s="177"/>
      <c r="I23" s="177"/>
      <c r="J23" s="177"/>
      <c r="K23" s="177"/>
      <c r="L23" s="177"/>
      <c r="M23" s="46" t="s">
        <v>114</v>
      </c>
    </row>
    <row r="24" spans="1:13" ht="14.45" customHeight="1">
      <c r="A24" s="3" t="s">
        <v>115</v>
      </c>
      <c r="B24" s="5" t="s">
        <v>112</v>
      </c>
      <c r="C24" s="177" t="s">
        <v>116</v>
      </c>
      <c r="D24" s="177"/>
      <c r="E24" s="177"/>
      <c r="F24" s="177"/>
      <c r="G24" s="177"/>
      <c r="H24" s="177"/>
      <c r="I24" s="177"/>
      <c r="J24" s="177"/>
      <c r="K24" s="177"/>
      <c r="L24" s="177"/>
      <c r="M24" s="46" t="s">
        <v>117</v>
      </c>
    </row>
    <row r="25" spans="1:13" ht="14.45" customHeight="1">
      <c r="A25" s="3" t="s">
        <v>118</v>
      </c>
      <c r="B25" s="5" t="s">
        <v>112</v>
      </c>
      <c r="C25" s="177" t="s">
        <v>119</v>
      </c>
      <c r="D25" s="177"/>
      <c r="E25" s="177"/>
      <c r="F25" s="177"/>
      <c r="G25" s="177"/>
      <c r="H25" s="177"/>
      <c r="I25" s="177"/>
      <c r="J25" s="177"/>
      <c r="K25" s="177"/>
      <c r="L25" s="177"/>
      <c r="M25" s="46" t="s">
        <v>117</v>
      </c>
    </row>
    <row r="26" spans="1:13" ht="14.45" customHeight="1">
      <c r="A26" s="3" t="s">
        <v>120</v>
      </c>
      <c r="B26" s="5" t="s">
        <v>112</v>
      </c>
      <c r="C26" s="177" t="s">
        <v>121</v>
      </c>
      <c r="D26" s="177"/>
      <c r="E26" s="177"/>
      <c r="F26" s="177"/>
      <c r="G26" s="177"/>
      <c r="H26" s="177"/>
      <c r="I26" s="177"/>
      <c r="J26" s="177"/>
      <c r="K26" s="177"/>
      <c r="L26" s="177"/>
      <c r="M26" s="46" t="s">
        <v>117</v>
      </c>
    </row>
    <row r="27" spans="1:13" ht="14.45" customHeight="1">
      <c r="A27" s="3" t="s">
        <v>122</v>
      </c>
      <c r="B27" s="5" t="s">
        <v>112</v>
      </c>
      <c r="C27" s="177" t="s">
        <v>123</v>
      </c>
      <c r="D27" s="177"/>
      <c r="E27" s="177"/>
      <c r="F27" s="177"/>
      <c r="G27" s="177"/>
      <c r="H27" s="177"/>
      <c r="I27" s="177"/>
      <c r="J27" s="177"/>
      <c r="K27" s="177"/>
      <c r="L27" s="177"/>
      <c r="M27" s="46" t="s">
        <v>117</v>
      </c>
    </row>
    <row r="28" spans="1:13" ht="14.45" customHeight="1">
      <c r="A28" s="3" t="s">
        <v>124</v>
      </c>
      <c r="B28" s="5" t="s">
        <v>112</v>
      </c>
      <c r="C28" s="177" t="s">
        <v>125</v>
      </c>
      <c r="D28" s="177"/>
      <c r="E28" s="177"/>
      <c r="F28" s="177"/>
      <c r="G28" s="177"/>
      <c r="H28" s="177"/>
      <c r="I28" s="177"/>
      <c r="J28" s="177"/>
      <c r="K28" s="177"/>
      <c r="L28" s="177"/>
      <c r="M28" s="46" t="s">
        <v>117</v>
      </c>
    </row>
  </sheetData>
  <mergeCells count="34">
    <mergeCell ref="C27:L27"/>
    <mergeCell ref="C28:L28"/>
    <mergeCell ref="A1:M1"/>
    <mergeCell ref="A3:M3"/>
    <mergeCell ref="A5:M5"/>
    <mergeCell ref="F12:L12"/>
    <mergeCell ref="F7:L7"/>
    <mergeCell ref="F8:L8"/>
    <mergeCell ref="F10:L10"/>
    <mergeCell ref="F11:L11"/>
    <mergeCell ref="D7:E7"/>
    <mergeCell ref="B8:C8"/>
    <mergeCell ref="D8:E8"/>
    <mergeCell ref="A4:M4"/>
    <mergeCell ref="A21:M21"/>
    <mergeCell ref="A2:M2"/>
    <mergeCell ref="B6:C6"/>
    <mergeCell ref="D6:E6"/>
    <mergeCell ref="B7:C7"/>
    <mergeCell ref="F6:L6"/>
    <mergeCell ref="A9:M9"/>
    <mergeCell ref="C25:L25"/>
    <mergeCell ref="C26:L26"/>
    <mergeCell ref="C22:L22"/>
    <mergeCell ref="C23:L23"/>
    <mergeCell ref="C24:L24"/>
    <mergeCell ref="A20:M20"/>
    <mergeCell ref="A19:M19"/>
    <mergeCell ref="F13:L13"/>
    <mergeCell ref="F18:L18"/>
    <mergeCell ref="F16:L16"/>
    <mergeCell ref="F17:L17"/>
    <mergeCell ref="F14:L14"/>
    <mergeCell ref="A15:M15"/>
  </mergeCells>
  <hyperlinks>
    <hyperlink ref="M23" r:id="rId1" xr:uid="{BFC2499F-EC25-4EC2-9AA3-9848FA7BD787}"/>
    <hyperlink ref="M24" r:id="rId2" display="https://blauwgroenvlaanderen.be/professionals/maatregelen/wadis/" xr:uid="{F760A37C-4E75-4358-8EAC-EF2C3A2F4FB7}"/>
    <hyperlink ref="M25" r:id="rId3" display="https://blauwgroenvlaanderen.be/professionals/maatregelen/wadis/" xr:uid="{95DF2350-C076-4EB4-90B4-F8301D19E481}"/>
    <hyperlink ref="M26" r:id="rId4" display="https://blauwgroenvlaanderen.be/professionals/maatregelen/wadis/" xr:uid="{210838BE-4CE2-4449-B213-46B97C6F30DF}"/>
    <hyperlink ref="M27" r:id="rId5" display="https://blauwgroenvlaanderen.be/professionals/maatregelen/wadis/" xr:uid="{FC9AF2CF-39D1-4417-93A3-A66D49A70B79}"/>
    <hyperlink ref="M28" r:id="rId6" display="https://blauwgroenvlaanderen.be/professionals/maatregelen/wadis/" xr:uid="{D7C3A548-D1EA-4361-8AE4-B0418593E474}"/>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AAE0-4F53-467A-9608-6F4EB33C33BC}">
  <sheetPr codeName="Sheet2">
    <tabColor rgb="FFFEF5D2"/>
  </sheetPr>
  <dimension ref="A1:N28"/>
  <sheetViews>
    <sheetView zoomScaleNormal="100" workbookViewId="0">
      <selection activeCell="D7" sqref="D7:E7"/>
    </sheetView>
  </sheetViews>
  <sheetFormatPr defaultRowHeight="14.45"/>
  <cols>
    <col min="1" max="1" width="24.140625" customWidth="1"/>
    <col min="2" max="2" width="17.5703125" customWidth="1"/>
    <col min="3" max="3" width="11.5703125" customWidth="1"/>
    <col min="4" max="5" width="12.5703125" customWidth="1"/>
    <col min="12" max="12" width="3.42578125" customWidth="1"/>
    <col min="13" max="13" width="47.5703125" customWidth="1"/>
    <col min="14" max="14" width="71.5703125" customWidth="1"/>
  </cols>
  <sheetData>
    <row r="1" spans="1:14" ht="18.600000000000001">
      <c r="A1" s="186" t="s">
        <v>47</v>
      </c>
      <c r="B1" s="186"/>
      <c r="C1" s="186"/>
      <c r="D1" s="186"/>
      <c r="E1" s="186"/>
      <c r="F1" s="186"/>
      <c r="G1" s="186"/>
      <c r="H1" s="186"/>
      <c r="I1" s="186"/>
      <c r="J1" s="186"/>
      <c r="K1" s="186"/>
      <c r="L1" s="186"/>
      <c r="M1" s="186"/>
    </row>
    <row r="2" spans="1:14" ht="15.6">
      <c r="A2" s="197" t="s">
        <v>126</v>
      </c>
      <c r="B2" s="197"/>
      <c r="C2" s="197"/>
      <c r="D2" s="197"/>
      <c r="E2" s="197"/>
      <c r="F2" s="197"/>
      <c r="G2" s="197"/>
      <c r="H2" s="197"/>
      <c r="I2" s="197"/>
      <c r="J2" s="197"/>
      <c r="K2" s="197"/>
      <c r="L2" s="197"/>
      <c r="M2" s="197"/>
    </row>
    <row r="3" spans="1:14">
      <c r="A3" s="175" t="s">
        <v>72</v>
      </c>
      <c r="B3" s="175"/>
      <c r="C3" s="175"/>
      <c r="D3" s="175"/>
      <c r="E3" s="175"/>
      <c r="F3" s="175"/>
      <c r="G3" s="175"/>
      <c r="H3" s="175"/>
      <c r="I3" s="175"/>
      <c r="J3" s="175"/>
      <c r="K3" s="175"/>
      <c r="L3" s="175"/>
      <c r="M3" s="175"/>
    </row>
    <row r="4" spans="1:14" ht="100.5" customHeight="1">
      <c r="A4" s="196" t="s">
        <v>127</v>
      </c>
      <c r="B4" s="196"/>
      <c r="C4" s="196"/>
      <c r="D4" s="196"/>
      <c r="E4" s="196"/>
      <c r="F4" s="196"/>
      <c r="G4" s="196"/>
      <c r="H4" s="196"/>
      <c r="I4" s="196"/>
      <c r="J4" s="196"/>
      <c r="K4" s="196"/>
      <c r="L4" s="196"/>
      <c r="M4" s="196"/>
    </row>
    <row r="5" spans="1:14">
      <c r="A5" s="187" t="s">
        <v>74</v>
      </c>
      <c r="B5" s="187"/>
      <c r="C5" s="187"/>
      <c r="D5" s="187"/>
      <c r="E5" s="187"/>
      <c r="F5" s="187"/>
      <c r="G5" s="187"/>
      <c r="H5" s="187"/>
      <c r="I5" s="187"/>
      <c r="J5" s="187"/>
      <c r="K5" s="187"/>
      <c r="L5" s="187"/>
      <c r="M5" s="187"/>
    </row>
    <row r="6" spans="1:14">
      <c r="A6" s="72" t="s">
        <v>75</v>
      </c>
      <c r="B6" s="198" t="s">
        <v>76</v>
      </c>
      <c r="C6" s="198"/>
      <c r="D6" s="184" t="s">
        <v>77</v>
      </c>
      <c r="E6" s="184"/>
      <c r="F6" s="185" t="s">
        <v>78</v>
      </c>
      <c r="G6" s="185"/>
      <c r="H6" s="185"/>
      <c r="I6" s="185"/>
      <c r="J6" s="185"/>
      <c r="K6" s="185"/>
      <c r="L6" s="185"/>
      <c r="M6" s="1" t="s">
        <v>128</v>
      </c>
    </row>
    <row r="7" spans="1:14" ht="28.7" customHeight="1">
      <c r="A7" s="3" t="s">
        <v>80</v>
      </c>
      <c r="B7" s="177" t="s">
        <v>81</v>
      </c>
      <c r="C7" s="177"/>
      <c r="D7" s="195" cm="1">
        <f t="array" ref="D7">(_xlfn.XLOOKUP(A2&amp;'Parameters &amp; assumpties'!B25&amp;'Parameters &amp; assumpties'!B24&amp;'Parameters &amp; assumpties'!B23,InputSirio[Key],InputSirio[total_buffervolume],_xludf.N/A,0,1)/10000)</f>
        <v>3.3000000000000002E-2</v>
      </c>
      <c r="E7" s="195"/>
      <c r="F7" s="190" t="s">
        <v>129</v>
      </c>
      <c r="G7" s="191"/>
      <c r="H7" s="191"/>
      <c r="I7" s="191"/>
      <c r="J7" s="191"/>
      <c r="K7" s="191"/>
      <c r="L7" s="191"/>
      <c r="M7" s="13"/>
      <c r="N7" s="42"/>
    </row>
    <row r="8" spans="1:14" ht="14.45" customHeight="1">
      <c r="A8" s="3" t="s">
        <v>83</v>
      </c>
      <c r="B8" s="177" t="s">
        <v>81</v>
      </c>
      <c r="C8" s="177"/>
      <c r="D8" s="195" cm="1">
        <f t="array" ref="D8">_xlfn.XLOOKUP(A2&amp;'Parameters &amp; assumpties'!B25&amp;'Parameters &amp; assumpties'!B24&amp;'Parameters &amp; assumpties'!B23,InputSirio[Key],InputSirio[MASS_infiltratie (m3/m2 afwaterend opp/jaar)],_xludf.N/A,0,1)</f>
        <v>0.58845581009631154</v>
      </c>
      <c r="E8" s="195"/>
      <c r="F8" s="192" t="s">
        <v>84</v>
      </c>
      <c r="G8" s="193"/>
      <c r="H8" s="193"/>
      <c r="I8" s="193"/>
      <c r="J8" s="193"/>
      <c r="K8" s="193"/>
      <c r="L8" s="194"/>
      <c r="M8" s="111"/>
      <c r="N8" s="42"/>
    </row>
    <row r="9" spans="1:14">
      <c r="A9" s="175" t="s">
        <v>85</v>
      </c>
      <c r="B9" s="175"/>
      <c r="C9" s="175"/>
      <c r="D9" s="175"/>
      <c r="E9" s="175"/>
      <c r="F9" s="175"/>
      <c r="G9" s="175"/>
      <c r="H9" s="175"/>
      <c r="I9" s="175"/>
      <c r="J9" s="175"/>
      <c r="K9" s="175"/>
      <c r="L9" s="175"/>
      <c r="M9" s="175"/>
    </row>
    <row r="10" spans="1:14">
      <c r="A10" s="31" t="s">
        <v>75</v>
      </c>
      <c r="B10" s="31" t="s">
        <v>76</v>
      </c>
      <c r="C10" s="31" t="s">
        <v>38</v>
      </c>
      <c r="D10" s="31" t="s">
        <v>39</v>
      </c>
      <c r="E10" s="32" t="s">
        <v>40</v>
      </c>
      <c r="F10" s="185" t="s">
        <v>78</v>
      </c>
      <c r="G10" s="185"/>
      <c r="H10" s="185"/>
      <c r="I10" s="185"/>
      <c r="J10" s="185"/>
      <c r="K10" s="185"/>
      <c r="L10" s="185"/>
      <c r="M10" s="1" t="s">
        <v>79</v>
      </c>
    </row>
    <row r="11" spans="1:14">
      <c r="A11" s="3" t="s">
        <v>86</v>
      </c>
      <c r="B11" s="3" t="s">
        <v>87</v>
      </c>
      <c r="C11" s="3"/>
      <c r="D11" s="3"/>
      <c r="E11" s="59">
        <f>'Parameters &amp; assumpties'!B10</f>
        <v>50</v>
      </c>
      <c r="F11" s="177" t="s">
        <v>88</v>
      </c>
      <c r="G11" s="177"/>
      <c r="H11" s="177"/>
      <c r="I11" s="177"/>
      <c r="J11" s="177"/>
      <c r="K11" s="177"/>
      <c r="L11" s="177"/>
      <c r="M11" s="3"/>
    </row>
    <row r="12" spans="1:14" ht="48" customHeight="1">
      <c r="A12" s="73" t="s">
        <v>130</v>
      </c>
      <c r="B12" s="3" t="s">
        <v>90</v>
      </c>
      <c r="C12" s="59">
        <f>0.8*Wadi!C12</f>
        <v>4.8000000000000007</v>
      </c>
      <c r="D12" s="59">
        <f>0.8*Wadi!D12</f>
        <v>7.0400000000000009</v>
      </c>
      <c r="E12" s="59">
        <f>0.8*Wadi!E12</f>
        <v>5.9200000000000008</v>
      </c>
      <c r="F12" s="188" t="s">
        <v>131</v>
      </c>
      <c r="G12" s="199"/>
      <c r="H12" s="199"/>
      <c r="I12" s="199"/>
      <c r="J12" s="199"/>
      <c r="K12" s="199"/>
      <c r="L12" s="199"/>
      <c r="M12" s="13" t="s">
        <v>132</v>
      </c>
      <c r="N12" s="105"/>
    </row>
    <row r="13" spans="1:14" ht="317.45" customHeight="1">
      <c r="A13" s="73" t="s">
        <v>133</v>
      </c>
      <c r="B13" s="3" t="s">
        <v>90</v>
      </c>
      <c r="C13" s="59">
        <v>8.0400000000000003E-3</v>
      </c>
      <c r="D13" s="59">
        <f>0.3714*0.04</f>
        <v>1.4856000000000001E-2</v>
      </c>
      <c r="E13" s="59">
        <f>AVERAGE(C13,D13)</f>
        <v>1.1448E-2</v>
      </c>
      <c r="F13" s="176" t="s">
        <v>94</v>
      </c>
      <c r="G13" s="176"/>
      <c r="H13" s="176"/>
      <c r="I13" s="176"/>
      <c r="J13" s="176"/>
      <c r="K13" s="176"/>
      <c r="L13" s="176"/>
      <c r="M13" s="43" t="s">
        <v>134</v>
      </c>
    </row>
    <row r="14" spans="1:14" ht="29.1">
      <c r="A14" s="73" t="s">
        <v>96</v>
      </c>
      <c r="B14" s="3" t="s">
        <v>90</v>
      </c>
      <c r="C14" s="51">
        <f>(-PMT('Parameters &amp; assumpties'!$B$8,$E$11,C12))+C13</f>
        <v>0.16079140657774355</v>
      </c>
      <c r="D14" s="51">
        <f>(-PMT('Parameters &amp; assumpties'!$B$8,$E$11,D12))+D13</f>
        <v>0.23889139631402387</v>
      </c>
      <c r="E14" s="51">
        <f>(-PMT('Parameters &amp; assumpties'!$B$8,$E$11,E12))+E13</f>
        <v>0.19984140144588369</v>
      </c>
      <c r="F14" s="200"/>
      <c r="G14" s="200"/>
      <c r="H14" s="200"/>
      <c r="I14" s="200"/>
      <c r="J14" s="200"/>
      <c r="K14" s="200"/>
      <c r="L14" s="200"/>
      <c r="M14" s="14"/>
    </row>
    <row r="15" spans="1:14">
      <c r="A15" s="201" t="s">
        <v>97</v>
      </c>
      <c r="B15" s="202"/>
      <c r="C15" s="202"/>
      <c r="D15" s="202"/>
      <c r="E15" s="202"/>
      <c r="F15" s="202"/>
      <c r="G15" s="202"/>
      <c r="H15" s="202"/>
      <c r="I15" s="202"/>
      <c r="J15" s="202"/>
      <c r="K15" s="202"/>
      <c r="L15" s="202"/>
      <c r="M15" s="203"/>
    </row>
    <row r="16" spans="1:14">
      <c r="A16" s="31" t="s">
        <v>75</v>
      </c>
      <c r="B16" s="31" t="s">
        <v>76</v>
      </c>
      <c r="C16" s="31" t="s">
        <v>38</v>
      </c>
      <c r="D16" s="31" t="s">
        <v>39</v>
      </c>
      <c r="E16" s="1" t="s">
        <v>40</v>
      </c>
      <c r="F16" s="178" t="s">
        <v>98</v>
      </c>
      <c r="G16" s="178"/>
      <c r="H16" s="178"/>
      <c r="I16" s="178"/>
      <c r="J16" s="178"/>
      <c r="K16" s="178"/>
      <c r="L16" s="178"/>
      <c r="M16" s="1"/>
    </row>
    <row r="17" spans="1:13" ht="29.1">
      <c r="A17" s="3" t="s">
        <v>99</v>
      </c>
      <c r="B17" s="3" t="s">
        <v>100</v>
      </c>
      <c r="C17" s="51">
        <f>C14/$D$8</f>
        <v>0.27324295863682119</v>
      </c>
      <c r="D17" s="51">
        <f t="shared" ref="D17:E17" si="0">D14/$D$8</f>
        <v>0.40596318740556736</v>
      </c>
      <c r="E17" s="51">
        <f t="shared" si="0"/>
        <v>0.33960307302119425</v>
      </c>
      <c r="F17" s="177" t="s">
        <v>135</v>
      </c>
      <c r="G17" s="177"/>
      <c r="H17" s="177"/>
      <c r="I17" s="177"/>
      <c r="J17" s="177"/>
      <c r="K17" s="177"/>
      <c r="L17" s="177"/>
      <c r="M17" s="15"/>
    </row>
    <row r="18" spans="1:13" ht="29.1">
      <c r="A18" s="3" t="s">
        <v>102</v>
      </c>
      <c r="B18" s="3" t="s">
        <v>103</v>
      </c>
      <c r="C18" s="51">
        <f>C14/$D$7</f>
        <v>4.8724668659922283</v>
      </c>
      <c r="D18" s="51">
        <f t="shared" ref="D18" si="1">D14/$D$7</f>
        <v>7.2391332216370863</v>
      </c>
      <c r="E18" s="51">
        <f>E14/$D$7</f>
        <v>6.0558000438146573</v>
      </c>
      <c r="F18" s="177" t="s">
        <v>136</v>
      </c>
      <c r="G18" s="177"/>
      <c r="H18" s="177"/>
      <c r="I18" s="177"/>
      <c r="J18" s="177"/>
      <c r="K18" s="177"/>
      <c r="L18" s="177"/>
      <c r="M18" s="15"/>
    </row>
    <row r="19" spans="1:13">
      <c r="A19" s="175" t="s">
        <v>105</v>
      </c>
      <c r="B19" s="175"/>
      <c r="C19" s="175"/>
      <c r="D19" s="175"/>
      <c r="E19" s="175"/>
      <c r="F19" s="175"/>
      <c r="G19" s="175"/>
      <c r="H19" s="175"/>
      <c r="I19" s="175"/>
      <c r="J19" s="175"/>
      <c r="K19" s="175"/>
      <c r="L19" s="175"/>
      <c r="M19" s="175"/>
    </row>
    <row r="20" spans="1:13" ht="62.1" customHeight="1">
      <c r="A20" s="196" t="s">
        <v>137</v>
      </c>
      <c r="B20" s="196"/>
      <c r="C20" s="196"/>
      <c r="D20" s="196"/>
      <c r="E20" s="196"/>
      <c r="F20" s="196"/>
      <c r="G20" s="196"/>
      <c r="H20" s="196"/>
      <c r="I20" s="196"/>
      <c r="J20" s="196"/>
      <c r="K20" s="196"/>
      <c r="L20" s="196"/>
      <c r="M20" s="196"/>
    </row>
    <row r="21" spans="1:13">
      <c r="A21" s="175" t="s">
        <v>107</v>
      </c>
      <c r="B21" s="175"/>
      <c r="C21" s="175"/>
      <c r="D21" s="175"/>
      <c r="E21" s="175"/>
      <c r="F21" s="175"/>
      <c r="G21" s="175"/>
      <c r="H21" s="175"/>
      <c r="I21" s="175"/>
      <c r="J21" s="175"/>
      <c r="K21" s="175"/>
      <c r="L21" s="175"/>
      <c r="M21" s="175"/>
    </row>
    <row r="22" spans="1:13">
      <c r="A22" s="75" t="s">
        <v>108</v>
      </c>
      <c r="B22" s="76" t="s">
        <v>109</v>
      </c>
      <c r="C22" s="183" t="s">
        <v>110</v>
      </c>
      <c r="D22" s="183"/>
      <c r="E22" s="183"/>
      <c r="F22" s="183"/>
      <c r="G22" s="183"/>
      <c r="H22" s="183"/>
      <c r="I22" s="183"/>
      <c r="J22" s="183"/>
      <c r="K22" s="183"/>
      <c r="L22" s="183"/>
      <c r="M22" s="47" t="s">
        <v>78</v>
      </c>
    </row>
    <row r="23" spans="1:13" ht="29.1" customHeight="1">
      <c r="A23" s="3" t="s">
        <v>111</v>
      </c>
      <c r="B23" s="5" t="s">
        <v>112</v>
      </c>
      <c r="C23" s="177" t="s">
        <v>138</v>
      </c>
      <c r="D23" s="177"/>
      <c r="E23" s="177"/>
      <c r="F23" s="177"/>
      <c r="G23" s="177"/>
      <c r="H23" s="177"/>
      <c r="I23" s="177"/>
      <c r="J23" s="177"/>
      <c r="K23" s="177"/>
      <c r="L23" s="177"/>
      <c r="M23" s="48" t="s">
        <v>139</v>
      </c>
    </row>
    <row r="24" spans="1:13" ht="14.45" customHeight="1">
      <c r="A24" s="3" t="s">
        <v>115</v>
      </c>
      <c r="B24" s="5" t="s">
        <v>112</v>
      </c>
      <c r="C24" s="177" t="s">
        <v>116</v>
      </c>
      <c r="D24" s="177"/>
      <c r="E24" s="177"/>
      <c r="F24" s="177"/>
      <c r="G24" s="177"/>
      <c r="H24" s="177"/>
      <c r="I24" s="177"/>
      <c r="J24" s="177"/>
      <c r="K24" s="177"/>
      <c r="L24" s="177"/>
      <c r="M24" s="48" t="s">
        <v>117</v>
      </c>
    </row>
    <row r="25" spans="1:13" ht="14.45" customHeight="1">
      <c r="A25" s="3" t="s">
        <v>118</v>
      </c>
      <c r="B25" s="5" t="s">
        <v>112</v>
      </c>
      <c r="C25" s="177" t="s">
        <v>119</v>
      </c>
      <c r="D25" s="177"/>
      <c r="E25" s="177"/>
      <c r="F25" s="177"/>
      <c r="G25" s="177"/>
      <c r="H25" s="177"/>
      <c r="I25" s="177"/>
      <c r="J25" s="177"/>
      <c r="K25" s="177"/>
      <c r="L25" s="177"/>
      <c r="M25" s="48" t="s">
        <v>117</v>
      </c>
    </row>
    <row r="26" spans="1:13" ht="29.1" customHeight="1">
      <c r="A26" s="3" t="s">
        <v>120</v>
      </c>
      <c r="B26" s="5" t="s">
        <v>112</v>
      </c>
      <c r="C26" s="177" t="s">
        <v>140</v>
      </c>
      <c r="D26" s="177"/>
      <c r="E26" s="177"/>
      <c r="F26" s="177"/>
      <c r="G26" s="177"/>
      <c r="H26" s="177"/>
      <c r="I26" s="177"/>
      <c r="J26" s="177"/>
      <c r="K26" s="177"/>
      <c r="L26" s="177"/>
      <c r="M26" s="48" t="s">
        <v>139</v>
      </c>
    </row>
    <row r="27" spans="1:13" ht="14.45" customHeight="1">
      <c r="A27" s="3" t="s">
        <v>122</v>
      </c>
      <c r="B27" s="5" t="s">
        <v>112</v>
      </c>
      <c r="C27" s="177" t="s">
        <v>123</v>
      </c>
      <c r="D27" s="177"/>
      <c r="E27" s="177"/>
      <c r="F27" s="177"/>
      <c r="G27" s="177"/>
      <c r="H27" s="177"/>
      <c r="I27" s="177"/>
      <c r="J27" s="177"/>
      <c r="K27" s="177"/>
      <c r="L27" s="177"/>
      <c r="M27" s="48" t="s">
        <v>117</v>
      </c>
    </row>
    <row r="28" spans="1:13" ht="14.45" customHeight="1">
      <c r="A28" s="3" t="s">
        <v>124</v>
      </c>
      <c r="B28" s="5" t="s">
        <v>112</v>
      </c>
      <c r="C28" s="177" t="s">
        <v>125</v>
      </c>
      <c r="D28" s="177"/>
      <c r="E28" s="177"/>
      <c r="F28" s="177"/>
      <c r="G28" s="177"/>
      <c r="H28" s="177"/>
      <c r="I28" s="177"/>
      <c r="J28" s="177"/>
      <c r="K28" s="177"/>
      <c r="L28" s="177"/>
      <c r="M28" s="48" t="s">
        <v>139</v>
      </c>
    </row>
  </sheetData>
  <mergeCells count="34">
    <mergeCell ref="C26:L26"/>
    <mergeCell ref="C27:L27"/>
    <mergeCell ref="C28:L28"/>
    <mergeCell ref="F16:L16"/>
    <mergeCell ref="F17:L17"/>
    <mergeCell ref="A21:M21"/>
    <mergeCell ref="C22:L22"/>
    <mergeCell ref="C23:L23"/>
    <mergeCell ref="C24:L24"/>
    <mergeCell ref="C25:L25"/>
    <mergeCell ref="F12:L12"/>
    <mergeCell ref="A20:M20"/>
    <mergeCell ref="A19:M19"/>
    <mergeCell ref="F18:L18"/>
    <mergeCell ref="F13:L13"/>
    <mergeCell ref="F14:L14"/>
    <mergeCell ref="A15:M15"/>
    <mergeCell ref="A1:M1"/>
    <mergeCell ref="A2:M2"/>
    <mergeCell ref="A3:M3"/>
    <mergeCell ref="A4:M4"/>
    <mergeCell ref="A5:M5"/>
    <mergeCell ref="B6:C6"/>
    <mergeCell ref="D6:E6"/>
    <mergeCell ref="F6:L6"/>
    <mergeCell ref="F11:L11"/>
    <mergeCell ref="B7:C7"/>
    <mergeCell ref="D7:E7"/>
    <mergeCell ref="F7:L7"/>
    <mergeCell ref="B8:C8"/>
    <mergeCell ref="D8:E8"/>
    <mergeCell ref="F8:L8"/>
    <mergeCell ref="A9:M9"/>
    <mergeCell ref="F10:L10"/>
  </mergeCells>
  <hyperlinks>
    <hyperlink ref="M23" r:id="rId1" display="https://blauwgroenvlaanderen.be/bewoners/maatregelen/maak-een-infiltratiegracht-of-wadi/" xr:uid="{5E32A2D3-38C7-4483-A11B-EA48D26C065C}"/>
    <hyperlink ref="M24" r:id="rId2" display="https://blauwgroenvlaanderen.be/professionals/maatregelen/wadis/" xr:uid="{5F5FF6E9-E36C-4EAE-853B-A90F5FF37986}"/>
    <hyperlink ref="M25" r:id="rId3" display="https://blauwgroenvlaanderen.be/professionals/maatregelen/wadis/" xr:uid="{7235CD28-82D0-4D79-9A41-194695D40038}"/>
    <hyperlink ref="M27" r:id="rId4" display="https://blauwgroenvlaanderen.be/professionals/maatregelen/wadis/" xr:uid="{EC0EB5E0-8376-4DE9-B223-3CA64C9F2F03}"/>
    <hyperlink ref="M26" r:id="rId5" display="https://blauwgroenvlaanderen.be/bewoners/maatregelen/maak-een-infiltratiegracht-of-wadi/" xr:uid="{FA31CA7E-7D9B-449C-B97F-6A9425BF0068}"/>
    <hyperlink ref="M28" r:id="rId6" display="https://blauwgroenvlaanderen.be/bewoners/maatregelen/maak-een-infiltratiegracht-of-wadi/" xr:uid="{1737CB72-ECB3-4622-941F-AE3E66960CA0}"/>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507F-1A00-43FD-BDEE-E489AFD6CFE3}">
  <sheetPr codeName="Sheet9">
    <tabColor rgb="FFFEF5D2"/>
  </sheetPr>
  <dimension ref="A1:O58"/>
  <sheetViews>
    <sheetView topLeftCell="A7" zoomScaleNormal="100" workbookViewId="0">
      <selection activeCell="M19" sqref="M19"/>
    </sheetView>
  </sheetViews>
  <sheetFormatPr defaultRowHeight="14.45"/>
  <cols>
    <col min="1" max="1" width="24.140625" customWidth="1"/>
    <col min="2" max="2" width="17.5703125" customWidth="1"/>
    <col min="3" max="3" width="11.5703125" customWidth="1"/>
    <col min="4" max="5" width="12.5703125" customWidth="1"/>
    <col min="13" max="13" width="39.140625" customWidth="1"/>
    <col min="14" max="14" width="38.85546875" customWidth="1"/>
    <col min="15" max="15" width="37.140625" customWidth="1"/>
  </cols>
  <sheetData>
    <row r="1" spans="1:15" ht="18.600000000000001">
      <c r="A1" s="186" t="s">
        <v>141</v>
      </c>
      <c r="B1" s="186"/>
      <c r="C1" s="186"/>
      <c r="D1" s="186"/>
      <c r="E1" s="186"/>
      <c r="F1" s="186"/>
      <c r="G1" s="186"/>
      <c r="H1" s="186"/>
      <c r="I1" s="186"/>
      <c r="J1" s="186"/>
      <c r="K1" s="186"/>
      <c r="L1" s="186"/>
      <c r="M1" s="186"/>
    </row>
    <row r="2" spans="1:15" ht="15.6">
      <c r="A2" s="197" t="s">
        <v>71</v>
      </c>
      <c r="B2" s="197"/>
      <c r="C2" s="197"/>
      <c r="D2" s="197"/>
      <c r="E2" s="197"/>
      <c r="F2" s="197"/>
      <c r="G2" s="197"/>
      <c r="H2" s="197"/>
      <c r="I2" s="197"/>
      <c r="J2" s="197"/>
      <c r="K2" s="197"/>
      <c r="L2" s="197"/>
      <c r="M2" s="197"/>
    </row>
    <row r="3" spans="1:15">
      <c r="A3" s="175" t="s">
        <v>72</v>
      </c>
      <c r="B3" s="175"/>
      <c r="C3" s="175"/>
      <c r="D3" s="175"/>
      <c r="E3" s="175"/>
      <c r="F3" s="175"/>
      <c r="G3" s="175"/>
      <c r="H3" s="175"/>
      <c r="I3" s="175"/>
      <c r="J3" s="175"/>
      <c r="K3" s="175"/>
      <c r="L3" s="175"/>
      <c r="M3" s="175"/>
    </row>
    <row r="4" spans="1:15" ht="409.6" customHeight="1">
      <c r="A4" s="196" t="s">
        <v>142</v>
      </c>
      <c r="B4" s="196"/>
      <c r="C4" s="196"/>
      <c r="D4" s="196"/>
      <c r="E4" s="196"/>
      <c r="F4" s="196"/>
      <c r="G4" s="196"/>
      <c r="H4" s="196"/>
      <c r="I4" s="196"/>
      <c r="J4" s="196"/>
      <c r="K4" s="196"/>
      <c r="L4" s="196"/>
      <c r="M4" s="196"/>
    </row>
    <row r="5" spans="1:15">
      <c r="A5" s="187" t="s">
        <v>143</v>
      </c>
      <c r="B5" s="187"/>
      <c r="C5" s="187"/>
      <c r="D5" s="187"/>
      <c r="E5" s="187"/>
      <c r="F5" s="187"/>
      <c r="G5" s="187"/>
      <c r="H5" s="187"/>
      <c r="I5" s="187"/>
      <c r="J5" s="187"/>
      <c r="K5" s="187"/>
      <c r="L5" s="187"/>
      <c r="M5" s="187"/>
    </row>
    <row r="6" spans="1:15">
      <c r="A6" s="72" t="s">
        <v>75</v>
      </c>
      <c r="B6" s="198" t="s">
        <v>76</v>
      </c>
      <c r="C6" s="198"/>
      <c r="D6" s="184" t="s">
        <v>77</v>
      </c>
      <c r="E6" s="184"/>
      <c r="F6" s="185" t="s">
        <v>78</v>
      </c>
      <c r="G6" s="185"/>
      <c r="H6" s="185"/>
      <c r="I6" s="185"/>
      <c r="J6" s="185"/>
      <c r="K6" s="185"/>
      <c r="L6" s="185"/>
      <c r="M6" s="1" t="s">
        <v>128</v>
      </c>
      <c r="N6" s="29"/>
    </row>
    <row r="7" spans="1:15" ht="116.1">
      <c r="A7" s="3" t="s">
        <v>80</v>
      </c>
      <c r="B7" s="177" t="s">
        <v>81</v>
      </c>
      <c r="C7" s="177"/>
      <c r="D7" s="195" cm="1">
        <f t="array" ref="D7">(_xlfn.XLOOKUP(A2&amp;'Parameters &amp; assumpties'!B25&amp;'Parameters &amp; assumpties'!B24&amp;'Parameters &amp; assumpties'!B23,InputSirio[Key],InputSirio[total_buffervolume],_xludf.N/A,0,1)/10000)</f>
        <v>3.3000000000000002E-2</v>
      </c>
      <c r="E7" s="195"/>
      <c r="F7" s="190" t="s">
        <v>129</v>
      </c>
      <c r="G7" s="191"/>
      <c r="H7" s="191"/>
      <c r="I7" s="191"/>
      <c r="J7" s="191"/>
      <c r="K7" s="191"/>
      <c r="L7" s="191"/>
      <c r="M7" s="43" t="s">
        <v>144</v>
      </c>
      <c r="N7" s="127"/>
      <c r="O7" s="45"/>
    </row>
    <row r="8" spans="1:15" ht="14.45" customHeight="1">
      <c r="A8" s="3" t="s">
        <v>83</v>
      </c>
      <c r="B8" s="177" t="s">
        <v>81</v>
      </c>
      <c r="C8" s="177"/>
      <c r="D8" s="195" cm="1">
        <f t="array" ref="D8">_xlfn.XLOOKUP(A2&amp;'Parameters &amp; assumpties'!B25&amp;'Parameters &amp; assumpties'!B24&amp;'Parameters &amp; assumpties'!B23,InputSirio[Key],InputSirio[MASS_infiltratie (m3/m2 afwaterend opp/jaar)],_xludf.N/A,0,1)</f>
        <v>0.5855689680940076</v>
      </c>
      <c r="E8" s="195"/>
      <c r="F8" s="192" t="s">
        <v>145</v>
      </c>
      <c r="G8" s="216"/>
      <c r="H8" s="216"/>
      <c r="I8" s="216"/>
      <c r="J8" s="216"/>
      <c r="K8" s="216"/>
      <c r="L8" s="217"/>
      <c r="M8" s="111"/>
      <c r="N8" s="42"/>
    </row>
    <row r="9" spans="1:15" ht="24" customHeight="1">
      <c r="A9" s="212" t="s">
        <v>146</v>
      </c>
      <c r="B9" s="212"/>
      <c r="C9" s="212"/>
      <c r="D9" s="212"/>
      <c r="E9" s="212"/>
      <c r="F9" s="212"/>
      <c r="G9" s="212"/>
      <c r="H9" s="212"/>
      <c r="I9" s="212"/>
      <c r="J9" s="212"/>
      <c r="K9" s="212"/>
      <c r="L9" s="212"/>
      <c r="M9" s="212"/>
    </row>
    <row r="10" spans="1:15" ht="29.1" customHeight="1">
      <c r="A10" s="175" t="s">
        <v>147</v>
      </c>
      <c r="B10" s="175"/>
      <c r="C10" s="175"/>
      <c r="D10" s="175"/>
      <c r="E10" s="175"/>
      <c r="F10" s="175"/>
      <c r="G10" s="175"/>
      <c r="H10" s="175"/>
      <c r="I10" s="175"/>
      <c r="J10" s="175"/>
      <c r="K10" s="175"/>
      <c r="L10" s="175"/>
      <c r="M10" s="175"/>
    </row>
    <row r="11" spans="1:15" ht="16.5" customHeight="1">
      <c r="A11" s="31" t="s">
        <v>75</v>
      </c>
      <c r="B11" s="31" t="s">
        <v>76</v>
      </c>
      <c r="C11" s="31" t="s">
        <v>38</v>
      </c>
      <c r="D11" s="31" t="s">
        <v>39</v>
      </c>
      <c r="E11" s="32" t="s">
        <v>40</v>
      </c>
      <c r="F11" s="185" t="s">
        <v>78</v>
      </c>
      <c r="G11" s="185"/>
      <c r="H11" s="185"/>
      <c r="I11" s="185"/>
      <c r="J11" s="185"/>
      <c r="K11" s="185"/>
      <c r="L11" s="185"/>
      <c r="M11" s="1" t="s">
        <v>79</v>
      </c>
    </row>
    <row r="12" spans="1:15" ht="19.5" customHeight="1">
      <c r="A12" s="3" t="s">
        <v>86</v>
      </c>
      <c r="B12" s="3" t="s">
        <v>87</v>
      </c>
      <c r="C12" s="3"/>
      <c r="D12" s="3"/>
      <c r="E12" s="59">
        <f>'Parameters &amp; assumpties'!B9</f>
        <v>50</v>
      </c>
      <c r="F12" s="207" t="s">
        <v>88</v>
      </c>
      <c r="G12" s="177"/>
      <c r="H12" s="177"/>
      <c r="I12" s="177"/>
      <c r="J12" s="177"/>
      <c r="K12" s="177"/>
      <c r="L12" s="177"/>
      <c r="M12" s="3"/>
    </row>
    <row r="13" spans="1:15" ht="43.5" customHeight="1">
      <c r="A13" s="3" t="s">
        <v>148</v>
      </c>
      <c r="B13" s="3" t="s">
        <v>149</v>
      </c>
      <c r="C13" s="54">
        <v>750</v>
      </c>
      <c r="D13" s="51">
        <v>1500</v>
      </c>
      <c r="E13" s="85">
        <v>1250</v>
      </c>
      <c r="F13" s="213" t="s">
        <v>150</v>
      </c>
      <c r="G13" s="213"/>
      <c r="H13" s="213"/>
      <c r="I13" s="213"/>
      <c r="J13" s="213"/>
      <c r="K13" s="213"/>
      <c r="L13" s="213"/>
      <c r="M13" s="13" t="s">
        <v>151</v>
      </c>
    </row>
    <row r="14" spans="1:15" ht="101.45">
      <c r="A14" s="3" t="s">
        <v>152</v>
      </c>
      <c r="B14" s="3" t="s">
        <v>149</v>
      </c>
      <c r="C14" s="68">
        <f t="shared" ref="C14:D14" si="0">1%*C13</f>
        <v>7.5</v>
      </c>
      <c r="D14" s="68">
        <f t="shared" si="0"/>
        <v>15</v>
      </c>
      <c r="E14" s="68">
        <f>1%*E13</f>
        <v>12.5</v>
      </c>
      <c r="F14" s="190" t="s">
        <v>153</v>
      </c>
      <c r="G14" s="190"/>
      <c r="H14" s="190"/>
      <c r="I14" s="190"/>
      <c r="J14" s="190"/>
      <c r="K14" s="190"/>
      <c r="L14" s="190"/>
      <c r="M14" s="34" t="s">
        <v>154</v>
      </c>
    </row>
    <row r="15" spans="1:15" ht="43.5">
      <c r="A15" s="3" t="s">
        <v>155</v>
      </c>
      <c r="B15" s="3" t="s">
        <v>149</v>
      </c>
      <c r="C15" s="51">
        <f>(-PMT('Parameters &amp; assumpties'!$B$8, $E12,C13))+C14</f>
        <v>31.367407277772429</v>
      </c>
      <c r="D15" s="51">
        <f>(-PMT('Parameters &amp; assumpties'!$B$8, $E12,D13))+D14</f>
        <v>62.734814555544858</v>
      </c>
      <c r="E15" s="51">
        <f>(-PMT('Parameters &amp; assumpties'!$B$8, $E12,E13))+E14</f>
        <v>52.27901212962071</v>
      </c>
      <c r="F15" s="210"/>
      <c r="G15" s="210"/>
      <c r="H15" s="210"/>
      <c r="I15" s="210"/>
      <c r="J15" s="210"/>
      <c r="K15" s="210"/>
      <c r="L15" s="210"/>
      <c r="M15" s="14"/>
    </row>
    <row r="16" spans="1:15" ht="14.45" customHeight="1">
      <c r="A16" s="74" t="s">
        <v>156</v>
      </c>
      <c r="B16" s="74"/>
      <c r="C16" s="74"/>
      <c r="D16" s="74"/>
      <c r="E16" s="74"/>
      <c r="F16" s="204"/>
      <c r="G16" s="205"/>
      <c r="H16" s="205"/>
      <c r="I16" s="205"/>
      <c r="J16" s="205"/>
      <c r="K16" s="205"/>
      <c r="L16" s="206"/>
      <c r="M16" s="74"/>
    </row>
    <row r="17" spans="1:13">
      <c r="A17" s="31" t="s">
        <v>75</v>
      </c>
      <c r="B17" s="31" t="s">
        <v>76</v>
      </c>
      <c r="C17" s="31" t="s">
        <v>38</v>
      </c>
      <c r="D17" s="31" t="s">
        <v>39</v>
      </c>
      <c r="E17" s="1" t="s">
        <v>40</v>
      </c>
      <c r="F17" s="178" t="s">
        <v>98</v>
      </c>
      <c r="G17" s="178"/>
      <c r="H17" s="178"/>
      <c r="I17" s="178"/>
      <c r="J17" s="178"/>
      <c r="K17" s="178"/>
      <c r="L17" s="178"/>
      <c r="M17" s="1"/>
    </row>
    <row r="18" spans="1:13" ht="29.1">
      <c r="A18" s="3" t="s">
        <v>99</v>
      </c>
      <c r="B18" s="3" t="s">
        <v>100</v>
      </c>
      <c r="C18" s="51">
        <f t="shared" ref="C18" si="1">C15*$D$7/$D$8</f>
        <v>1.7677242076808803</v>
      </c>
      <c r="D18" s="51">
        <f>D15*$D$7/$D$8</f>
        <v>3.5354484153617607</v>
      </c>
      <c r="E18" s="51">
        <f>E15*$D$7/$D$8</f>
        <v>2.9462070128014668</v>
      </c>
      <c r="F18" s="211"/>
      <c r="G18" s="211"/>
      <c r="H18" s="211"/>
      <c r="I18" s="211"/>
      <c r="J18" s="211"/>
      <c r="K18" s="211"/>
      <c r="L18" s="211"/>
      <c r="M18" s="15"/>
    </row>
    <row r="19" spans="1:13" ht="29.1">
      <c r="A19" s="3" t="s">
        <v>102</v>
      </c>
      <c r="B19" s="3" t="s">
        <v>103</v>
      </c>
      <c r="C19" s="51">
        <f t="shared" ref="C19:D19" si="2">C15</f>
        <v>31.367407277772429</v>
      </c>
      <c r="D19" s="51">
        <f t="shared" si="2"/>
        <v>62.734814555544858</v>
      </c>
      <c r="E19" s="51">
        <f>E15</f>
        <v>52.27901212962071</v>
      </c>
      <c r="F19" s="177"/>
      <c r="G19" s="177"/>
      <c r="H19" s="177"/>
      <c r="I19" s="177"/>
      <c r="J19" s="177"/>
      <c r="K19" s="177"/>
      <c r="L19" s="177"/>
      <c r="M19" s="15"/>
    </row>
    <row r="20" spans="1:13" ht="22.5" customHeight="1">
      <c r="A20" s="212" t="s">
        <v>157</v>
      </c>
      <c r="B20" s="212"/>
      <c r="C20" s="212"/>
      <c r="D20" s="212"/>
      <c r="E20" s="212"/>
      <c r="F20" s="212"/>
      <c r="G20" s="212"/>
      <c r="H20" s="212"/>
      <c r="I20" s="212"/>
      <c r="J20" s="212"/>
      <c r="K20" s="212"/>
      <c r="L20" s="212"/>
      <c r="M20" s="212"/>
    </row>
    <row r="21" spans="1:13" ht="14.45" customHeight="1">
      <c r="A21" s="175" t="s">
        <v>158</v>
      </c>
      <c r="B21" s="175"/>
      <c r="C21" s="175"/>
      <c r="D21" s="175"/>
      <c r="E21" s="175"/>
      <c r="F21" s="175"/>
      <c r="G21" s="175"/>
      <c r="H21" s="175"/>
      <c r="I21" s="175"/>
      <c r="J21" s="175"/>
      <c r="K21" s="175"/>
      <c r="L21" s="175"/>
      <c r="M21" s="175"/>
    </row>
    <row r="22" spans="1:13">
      <c r="A22" s="31" t="s">
        <v>75</v>
      </c>
      <c r="B22" s="31" t="s">
        <v>76</v>
      </c>
      <c r="C22" s="31" t="s">
        <v>38</v>
      </c>
      <c r="D22" s="31" t="s">
        <v>39</v>
      </c>
      <c r="E22" s="32" t="s">
        <v>40</v>
      </c>
      <c r="F22" s="214" t="s">
        <v>78</v>
      </c>
      <c r="G22" s="214"/>
      <c r="H22" s="214"/>
      <c r="I22" s="214"/>
      <c r="J22" s="214"/>
      <c r="K22" s="214"/>
      <c r="L22" s="214"/>
      <c r="M22" s="32" t="s">
        <v>79</v>
      </c>
    </row>
    <row r="23" spans="1:13" ht="29.1">
      <c r="A23" s="3" t="s">
        <v>86</v>
      </c>
      <c r="B23" s="3" t="s">
        <v>87</v>
      </c>
      <c r="C23" s="3"/>
      <c r="D23" s="3"/>
      <c r="E23" s="59">
        <f>'Parameters &amp; assumpties'!B9</f>
        <v>50</v>
      </c>
      <c r="F23" s="215" t="s">
        <v>159</v>
      </c>
      <c r="G23" s="177"/>
      <c r="H23" s="177"/>
      <c r="I23" s="177"/>
      <c r="J23" s="177"/>
      <c r="K23" s="177"/>
      <c r="L23" s="177"/>
      <c r="M23" s="3" t="s">
        <v>160</v>
      </c>
    </row>
    <row r="24" spans="1:13" ht="29.1" customHeight="1">
      <c r="A24" s="3" t="s">
        <v>161</v>
      </c>
      <c r="B24" s="3" t="s">
        <v>149</v>
      </c>
      <c r="C24" s="54">
        <v>250</v>
      </c>
      <c r="D24" s="51">
        <v>800</v>
      </c>
      <c r="E24" s="49">
        <f>AVERAGE(C24:D24)</f>
        <v>525</v>
      </c>
      <c r="F24" s="208" t="s">
        <v>162</v>
      </c>
      <c r="G24" s="213"/>
      <c r="H24" s="213"/>
      <c r="I24" s="213"/>
      <c r="J24" s="213"/>
      <c r="K24" s="213"/>
      <c r="L24" s="213"/>
      <c r="M24" s="13" t="s">
        <v>163</v>
      </c>
    </row>
    <row r="25" spans="1:13" ht="101.45">
      <c r="A25" s="3" t="s">
        <v>164</v>
      </c>
      <c r="B25" s="3" t="s">
        <v>149</v>
      </c>
      <c r="C25" s="84">
        <f t="shared" ref="C25:D25" si="3">0.01*C24</f>
        <v>2.5</v>
      </c>
      <c r="D25" s="84">
        <f t="shared" si="3"/>
        <v>8</v>
      </c>
      <c r="E25" s="84">
        <f>0.01*E24</f>
        <v>5.25</v>
      </c>
      <c r="F25" s="190" t="s">
        <v>153</v>
      </c>
      <c r="G25" s="190"/>
      <c r="H25" s="190"/>
      <c r="I25" s="190"/>
      <c r="J25" s="190"/>
      <c r="K25" s="190"/>
      <c r="L25" s="190"/>
      <c r="M25" s="34" t="s">
        <v>154</v>
      </c>
    </row>
    <row r="26" spans="1:13" ht="43.5">
      <c r="A26" s="3" t="s">
        <v>165</v>
      </c>
      <c r="B26" s="3" t="s">
        <v>149</v>
      </c>
      <c r="C26" s="51">
        <f>(-PMT('Parameters &amp; assumpties'!$B$8, $E23,C24))+C25</f>
        <v>10.455802425924141</v>
      </c>
      <c r="D26" s="51">
        <f>(-PMT('Parameters &amp; assumpties'!$B$8, $E23,D24))+D25</f>
        <v>33.458567762957259</v>
      </c>
      <c r="E26" s="51">
        <f>(-PMT('Parameters &amp; assumpties'!$B$8, $E23,E24))+E25</f>
        <v>21.957185094440696</v>
      </c>
      <c r="F26" s="210"/>
      <c r="G26" s="210"/>
      <c r="H26" s="210"/>
      <c r="I26" s="210"/>
      <c r="J26" s="210"/>
      <c r="K26" s="210"/>
      <c r="L26" s="210"/>
      <c r="M26" s="14"/>
    </row>
    <row r="27" spans="1:13">
      <c r="A27" s="74" t="s">
        <v>166</v>
      </c>
      <c r="B27" s="74"/>
      <c r="C27" s="74"/>
      <c r="D27" s="74"/>
      <c r="E27" s="79"/>
      <c r="F27" s="204"/>
      <c r="G27" s="205"/>
      <c r="H27" s="205"/>
      <c r="I27" s="205"/>
      <c r="J27" s="205"/>
      <c r="K27" s="205"/>
      <c r="L27" s="206"/>
      <c r="M27" s="74"/>
    </row>
    <row r="28" spans="1:13">
      <c r="A28" s="31" t="s">
        <v>75</v>
      </c>
      <c r="B28" s="31" t="s">
        <v>76</v>
      </c>
      <c r="C28" s="31" t="s">
        <v>38</v>
      </c>
      <c r="D28" s="31" t="s">
        <v>39</v>
      </c>
      <c r="E28" s="60" t="s">
        <v>40</v>
      </c>
      <c r="F28" s="178" t="s">
        <v>98</v>
      </c>
      <c r="G28" s="178"/>
      <c r="H28" s="178"/>
      <c r="I28" s="178"/>
      <c r="J28" s="178"/>
      <c r="K28" s="178"/>
      <c r="L28" s="178"/>
      <c r="M28" s="1"/>
    </row>
    <row r="29" spans="1:13" ht="29.1">
      <c r="A29" s="3" t="s">
        <v>99</v>
      </c>
      <c r="B29" s="3" t="s">
        <v>100</v>
      </c>
      <c r="C29" s="51">
        <f t="shared" ref="C29:D29" si="4">C26*$D$7/$D$8</f>
        <v>0.58924140256029334</v>
      </c>
      <c r="D29" s="51">
        <f t="shared" si="4"/>
        <v>1.885572488192939</v>
      </c>
      <c r="E29" s="51">
        <f>E26*$D$7/$D$8</f>
        <v>1.2374069453766159</v>
      </c>
      <c r="F29" s="211"/>
      <c r="G29" s="211"/>
      <c r="H29" s="211"/>
      <c r="I29" s="211"/>
      <c r="J29" s="211"/>
      <c r="K29" s="211"/>
      <c r="L29" s="211"/>
      <c r="M29" s="15"/>
    </row>
    <row r="30" spans="1:13" ht="29.1">
      <c r="A30" s="3" t="s">
        <v>102</v>
      </c>
      <c r="B30" s="3" t="s">
        <v>103</v>
      </c>
      <c r="C30" s="51">
        <f t="shared" ref="C30:D30" si="5">C26</f>
        <v>10.455802425924141</v>
      </c>
      <c r="D30" s="51">
        <f t="shared" si="5"/>
        <v>33.458567762957259</v>
      </c>
      <c r="E30" s="51">
        <f>E26</f>
        <v>21.957185094440696</v>
      </c>
      <c r="F30" s="177"/>
      <c r="G30" s="177"/>
      <c r="H30" s="177"/>
      <c r="I30" s="177"/>
      <c r="J30" s="177"/>
      <c r="K30" s="177"/>
      <c r="L30" s="177"/>
      <c r="M30" s="15"/>
    </row>
    <row r="31" spans="1:13" ht="17.45" customHeight="1">
      <c r="A31" s="212" t="s">
        <v>167</v>
      </c>
      <c r="B31" s="212"/>
      <c r="C31" s="212"/>
      <c r="D31" s="212"/>
      <c r="E31" s="212"/>
      <c r="F31" s="212"/>
      <c r="G31" s="212"/>
      <c r="H31" s="212"/>
      <c r="I31" s="212"/>
      <c r="J31" s="212"/>
      <c r="K31" s="212"/>
      <c r="L31" s="212"/>
      <c r="M31" s="212"/>
    </row>
    <row r="32" spans="1:13">
      <c r="A32" s="175" t="s">
        <v>168</v>
      </c>
      <c r="B32" s="175"/>
      <c r="C32" s="175"/>
      <c r="D32" s="175"/>
      <c r="E32" s="175"/>
      <c r="F32" s="175"/>
      <c r="G32" s="175"/>
      <c r="H32" s="175"/>
      <c r="I32" s="175"/>
      <c r="J32" s="175"/>
      <c r="K32" s="175"/>
      <c r="L32" s="175"/>
      <c r="M32" s="175"/>
    </row>
    <row r="33" spans="1:13">
      <c r="A33" s="31" t="s">
        <v>75</v>
      </c>
      <c r="B33" s="31" t="s">
        <v>76</v>
      </c>
      <c r="C33" s="31" t="s">
        <v>38</v>
      </c>
      <c r="D33" s="31" t="s">
        <v>39</v>
      </c>
      <c r="E33" s="32" t="s">
        <v>40</v>
      </c>
      <c r="F33" s="214" t="s">
        <v>78</v>
      </c>
      <c r="G33" s="214"/>
      <c r="H33" s="214"/>
      <c r="I33" s="214"/>
      <c r="J33" s="214"/>
      <c r="K33" s="214"/>
      <c r="L33" s="214"/>
      <c r="M33" s="32" t="s">
        <v>79</v>
      </c>
    </row>
    <row r="34" spans="1:13" ht="29.1">
      <c r="A34" s="3" t="s">
        <v>86</v>
      </c>
      <c r="B34" s="3" t="s">
        <v>87</v>
      </c>
      <c r="C34" s="3"/>
      <c r="D34" s="3"/>
      <c r="E34" s="59">
        <f>'Parameters &amp; assumpties'!B9</f>
        <v>50</v>
      </c>
      <c r="F34" s="207" t="s">
        <v>159</v>
      </c>
      <c r="G34" s="177"/>
      <c r="H34" s="177"/>
      <c r="I34" s="177"/>
      <c r="J34" s="177"/>
      <c r="K34" s="177"/>
      <c r="L34" s="177"/>
      <c r="M34" s="3" t="s">
        <v>160</v>
      </c>
    </row>
    <row r="35" spans="1:13" ht="43.5">
      <c r="A35" s="3" t="s">
        <v>169</v>
      </c>
      <c r="B35" s="3" t="s">
        <v>149</v>
      </c>
      <c r="C35" s="54">
        <v>150</v>
      </c>
      <c r="D35" s="51">
        <v>350</v>
      </c>
      <c r="E35" s="49">
        <f>AVERAGE(C35:D35)</f>
        <v>250</v>
      </c>
      <c r="F35" s="208" t="s">
        <v>170</v>
      </c>
      <c r="G35" s="213"/>
      <c r="H35" s="213"/>
      <c r="I35" s="213"/>
      <c r="J35" s="213"/>
      <c r="K35" s="213"/>
      <c r="L35" s="213"/>
      <c r="M35" s="13" t="s">
        <v>151</v>
      </c>
    </row>
    <row r="36" spans="1:13" ht="101.45">
      <c r="A36" s="3" t="s">
        <v>171</v>
      </c>
      <c r="B36" s="3" t="s">
        <v>149</v>
      </c>
      <c r="C36" s="84">
        <f t="shared" ref="C36" si="6">0.01*C35</f>
        <v>1.5</v>
      </c>
      <c r="D36" s="84">
        <f t="shared" ref="D36" si="7">0.01*D35</f>
        <v>3.5</v>
      </c>
      <c r="E36" s="84">
        <f>0.01*E35</f>
        <v>2.5</v>
      </c>
      <c r="F36" s="190" t="s">
        <v>153</v>
      </c>
      <c r="G36" s="190"/>
      <c r="H36" s="190"/>
      <c r="I36" s="190"/>
      <c r="J36" s="190"/>
      <c r="K36" s="190"/>
      <c r="L36" s="190"/>
      <c r="M36" s="34" t="s">
        <v>172</v>
      </c>
    </row>
    <row r="37" spans="1:13" ht="43.5">
      <c r="A37" s="3" t="s">
        <v>173</v>
      </c>
      <c r="B37" s="3" t="s">
        <v>149</v>
      </c>
      <c r="C37" s="51">
        <f>(-PMT('Parameters &amp; assumpties'!$B$8, $E34,C35))+C36</f>
        <v>6.2734814555544851</v>
      </c>
      <c r="D37" s="51">
        <f>(-PMT('Parameters &amp; assumpties'!$B$8, $E34,D35))+D36</f>
        <v>14.6381233962938</v>
      </c>
      <c r="E37" s="51">
        <f>(-PMT('Parameters &amp; assumpties'!$B$8, $E34,E35))+E36</f>
        <v>10.455802425924141</v>
      </c>
      <c r="F37" s="210"/>
      <c r="G37" s="210"/>
      <c r="H37" s="210"/>
      <c r="I37" s="210"/>
      <c r="J37" s="210"/>
      <c r="K37" s="210"/>
      <c r="L37" s="210"/>
      <c r="M37" s="14"/>
    </row>
    <row r="38" spans="1:13">
      <c r="A38" s="74" t="s">
        <v>174</v>
      </c>
      <c r="B38" s="74"/>
      <c r="C38" s="74"/>
      <c r="D38" s="74"/>
      <c r="E38" s="79"/>
      <c r="F38" s="204"/>
      <c r="G38" s="205"/>
      <c r="H38" s="205"/>
      <c r="I38" s="205"/>
      <c r="J38" s="205"/>
      <c r="K38" s="205"/>
      <c r="L38" s="206"/>
      <c r="M38" s="74"/>
    </row>
    <row r="39" spans="1:13">
      <c r="A39" s="31" t="s">
        <v>75</v>
      </c>
      <c r="B39" s="31" t="s">
        <v>76</v>
      </c>
      <c r="C39" s="31" t="s">
        <v>38</v>
      </c>
      <c r="D39" s="31" t="s">
        <v>39</v>
      </c>
      <c r="E39" s="60" t="s">
        <v>40</v>
      </c>
      <c r="F39" s="178" t="s">
        <v>98</v>
      </c>
      <c r="G39" s="178"/>
      <c r="H39" s="178"/>
      <c r="I39" s="178"/>
      <c r="J39" s="178"/>
      <c r="K39" s="178"/>
      <c r="L39" s="178"/>
      <c r="M39" s="1"/>
    </row>
    <row r="40" spans="1:13" ht="29.1">
      <c r="A40" s="3" t="s">
        <v>99</v>
      </c>
      <c r="B40" s="3" t="s">
        <v>100</v>
      </c>
      <c r="C40" s="51">
        <f t="shared" ref="C40:D40" si="8">C37*$D$7/$D$8</f>
        <v>0.35354484153617599</v>
      </c>
      <c r="D40" s="51">
        <f t="shared" si="8"/>
        <v>0.82493796358441074</v>
      </c>
      <c r="E40" s="51">
        <f>E37*$D$7/$D$8</f>
        <v>0.58924140256029334</v>
      </c>
      <c r="F40" s="211"/>
      <c r="G40" s="211"/>
      <c r="H40" s="211"/>
      <c r="I40" s="211"/>
      <c r="J40" s="211"/>
      <c r="K40" s="211"/>
      <c r="L40" s="211"/>
      <c r="M40" s="15"/>
    </row>
    <row r="41" spans="1:13" ht="29.1">
      <c r="A41" s="3" t="s">
        <v>102</v>
      </c>
      <c r="B41" s="3" t="s">
        <v>103</v>
      </c>
      <c r="C41" s="51">
        <f t="shared" ref="C41:D41" si="9">C37</f>
        <v>6.2734814555544851</v>
      </c>
      <c r="D41" s="51">
        <f t="shared" si="9"/>
        <v>14.6381233962938</v>
      </c>
      <c r="E41" s="51">
        <f>E37</f>
        <v>10.455802425924141</v>
      </c>
      <c r="F41" s="177"/>
      <c r="G41" s="177"/>
      <c r="H41" s="177"/>
      <c r="I41" s="177"/>
      <c r="J41" s="177"/>
      <c r="K41" s="177"/>
      <c r="L41" s="177"/>
      <c r="M41" s="15"/>
    </row>
    <row r="42" spans="1:13" ht="21" customHeight="1">
      <c r="A42" s="212" t="s">
        <v>175</v>
      </c>
      <c r="B42" s="212"/>
      <c r="C42" s="212"/>
      <c r="D42" s="212"/>
      <c r="E42" s="212"/>
      <c r="F42" s="212"/>
      <c r="G42" s="212"/>
      <c r="H42" s="212"/>
      <c r="I42" s="212"/>
      <c r="J42" s="212"/>
      <c r="K42" s="212"/>
      <c r="L42" s="212"/>
      <c r="M42" s="212"/>
    </row>
    <row r="43" spans="1:13" ht="24.6" customHeight="1">
      <c r="A43" s="175" t="s">
        <v>176</v>
      </c>
      <c r="B43" s="175"/>
      <c r="C43" s="175"/>
      <c r="D43" s="175"/>
      <c r="E43" s="175"/>
      <c r="F43" s="175"/>
      <c r="G43" s="175"/>
      <c r="H43" s="175"/>
      <c r="I43" s="175"/>
      <c r="J43" s="175"/>
      <c r="K43" s="175"/>
      <c r="L43" s="175"/>
      <c r="M43" s="175"/>
    </row>
    <row r="44" spans="1:13">
      <c r="A44" s="31" t="s">
        <v>75</v>
      </c>
      <c r="B44" s="31" t="s">
        <v>76</v>
      </c>
      <c r="C44" s="31" t="s">
        <v>38</v>
      </c>
      <c r="D44" s="31" t="s">
        <v>39</v>
      </c>
      <c r="E44" s="32" t="s">
        <v>40</v>
      </c>
      <c r="F44" s="185" t="s">
        <v>78</v>
      </c>
      <c r="G44" s="185"/>
      <c r="H44" s="185"/>
      <c r="I44" s="185"/>
      <c r="J44" s="185"/>
      <c r="K44" s="185"/>
      <c r="L44" s="185"/>
      <c r="M44" s="1" t="s">
        <v>79</v>
      </c>
    </row>
    <row r="45" spans="1:13">
      <c r="A45" s="3" t="s">
        <v>86</v>
      </c>
      <c r="B45" s="3" t="s">
        <v>87</v>
      </c>
      <c r="C45" s="3"/>
      <c r="D45" s="3"/>
      <c r="E45" s="59">
        <f>'Parameters &amp; assumpties'!B9</f>
        <v>50</v>
      </c>
      <c r="F45" s="207" t="s">
        <v>88</v>
      </c>
      <c r="G45" s="177"/>
      <c r="H45" s="177"/>
      <c r="I45" s="177"/>
      <c r="J45" s="177"/>
      <c r="K45" s="177"/>
      <c r="L45" s="177"/>
      <c r="M45" s="3"/>
    </row>
    <row r="46" spans="1:13" ht="35.1" customHeight="1">
      <c r="A46" s="3" t="s">
        <v>177</v>
      </c>
      <c r="B46" s="3" t="s">
        <v>149</v>
      </c>
      <c r="C46" s="54">
        <v>1305</v>
      </c>
      <c r="D46" s="51">
        <v>2378</v>
      </c>
      <c r="E46" s="133">
        <f>AVERAGE(2378,1871,1518,1305,1504)</f>
        <v>1715.2</v>
      </c>
      <c r="F46" s="208" t="s">
        <v>178</v>
      </c>
      <c r="G46" s="209"/>
      <c r="H46" s="209"/>
      <c r="I46" s="209"/>
      <c r="J46" s="209"/>
      <c r="K46" s="209"/>
      <c r="L46" s="209"/>
      <c r="M46" s="3" t="s">
        <v>179</v>
      </c>
    </row>
    <row r="47" spans="1:13" ht="101.45">
      <c r="A47" s="3" t="s">
        <v>180</v>
      </c>
      <c r="B47" s="3" t="s">
        <v>149</v>
      </c>
      <c r="C47" s="33"/>
      <c r="D47" s="33"/>
      <c r="E47" s="68">
        <f>1%*E46</f>
        <v>17.152000000000001</v>
      </c>
      <c r="F47" s="190" t="s">
        <v>153</v>
      </c>
      <c r="G47" s="190"/>
      <c r="H47" s="190"/>
      <c r="I47" s="190"/>
      <c r="J47" s="190"/>
      <c r="K47" s="190"/>
      <c r="L47" s="190"/>
      <c r="M47" s="34" t="s">
        <v>154</v>
      </c>
    </row>
    <row r="48" spans="1:13" ht="43.5">
      <c r="A48" s="3" t="s">
        <v>181</v>
      </c>
      <c r="B48" s="3" t="s">
        <v>149</v>
      </c>
      <c r="C48" s="33"/>
      <c r="D48" s="33"/>
      <c r="E48" s="51">
        <f>(-PMT('Parameters &amp; assumpties'!$B$8, $E45,E46))+E47</f>
        <v>71.735169283780351</v>
      </c>
      <c r="F48" s="210"/>
      <c r="G48" s="210"/>
      <c r="H48" s="210"/>
      <c r="I48" s="210"/>
      <c r="J48" s="210"/>
      <c r="K48" s="210"/>
      <c r="L48" s="210"/>
      <c r="M48" s="14"/>
    </row>
    <row r="49" spans="1:13">
      <c r="A49" s="74" t="s">
        <v>182</v>
      </c>
      <c r="B49" s="74"/>
      <c r="C49" s="74"/>
      <c r="D49" s="74"/>
      <c r="E49" s="74"/>
      <c r="F49" s="204"/>
      <c r="G49" s="205"/>
      <c r="H49" s="205"/>
      <c r="I49" s="205"/>
      <c r="J49" s="205"/>
      <c r="K49" s="205"/>
      <c r="L49" s="206"/>
      <c r="M49" s="74"/>
    </row>
    <row r="50" spans="1:13">
      <c r="A50" s="31" t="s">
        <v>75</v>
      </c>
      <c r="B50" s="31" t="s">
        <v>76</v>
      </c>
      <c r="C50" s="31" t="s">
        <v>38</v>
      </c>
      <c r="D50" s="31" t="s">
        <v>39</v>
      </c>
      <c r="E50" s="1" t="s">
        <v>40</v>
      </c>
      <c r="F50" s="178" t="s">
        <v>98</v>
      </c>
      <c r="G50" s="178"/>
      <c r="H50" s="178"/>
      <c r="I50" s="178"/>
      <c r="J50" s="178"/>
      <c r="K50" s="178"/>
      <c r="L50" s="178"/>
      <c r="M50" s="1"/>
    </row>
    <row r="51" spans="1:13" ht="29.1">
      <c r="A51" s="3" t="s">
        <v>99</v>
      </c>
      <c r="B51" s="3" t="s">
        <v>100</v>
      </c>
      <c r="C51" s="51"/>
      <c r="D51" s="51"/>
      <c r="E51" s="51">
        <f>E48*$D$7/$D$8</f>
        <v>4.0426674146856607</v>
      </c>
      <c r="F51" s="211"/>
      <c r="G51" s="211"/>
      <c r="H51" s="211"/>
      <c r="I51" s="211"/>
      <c r="J51" s="211"/>
      <c r="K51" s="211"/>
      <c r="L51" s="211"/>
      <c r="M51" s="15"/>
    </row>
    <row r="52" spans="1:13" ht="29.1">
      <c r="A52" s="3" t="s">
        <v>102</v>
      </c>
      <c r="B52" s="3" t="s">
        <v>103</v>
      </c>
      <c r="C52" s="51"/>
      <c r="D52" s="51"/>
      <c r="E52" s="51">
        <f>E48</f>
        <v>71.735169283780351</v>
      </c>
      <c r="F52" s="177"/>
      <c r="G52" s="177"/>
      <c r="H52" s="177"/>
      <c r="I52" s="177"/>
      <c r="J52" s="177"/>
      <c r="K52" s="177"/>
      <c r="L52" s="177"/>
      <c r="M52" s="15"/>
    </row>
    <row r="53" spans="1:13">
      <c r="A53" s="175" t="s">
        <v>105</v>
      </c>
      <c r="B53" s="175"/>
      <c r="C53" s="175"/>
      <c r="D53" s="175"/>
      <c r="E53" s="175"/>
      <c r="F53" s="175"/>
      <c r="G53" s="175"/>
      <c r="H53" s="175"/>
      <c r="I53" s="175"/>
      <c r="J53" s="175"/>
      <c r="K53" s="175"/>
      <c r="L53" s="175"/>
      <c r="M53" s="175"/>
    </row>
    <row r="54" spans="1:13" s="45" customFormat="1" ht="261" customHeight="1">
      <c r="A54" s="196" t="s">
        <v>183</v>
      </c>
      <c r="B54" s="196"/>
      <c r="C54" s="196"/>
      <c r="D54" s="196"/>
      <c r="E54" s="196"/>
      <c r="F54" s="196"/>
      <c r="G54" s="196"/>
      <c r="H54" s="196"/>
      <c r="I54" s="196"/>
      <c r="J54" s="196"/>
      <c r="K54" s="196"/>
      <c r="L54" s="196"/>
      <c r="M54" s="196"/>
    </row>
    <row r="55" spans="1:13">
      <c r="A55" s="175" t="s">
        <v>107</v>
      </c>
      <c r="B55" s="175"/>
      <c r="C55" s="175"/>
      <c r="D55" s="175"/>
      <c r="E55" s="175"/>
      <c r="F55" s="175"/>
      <c r="G55" s="175"/>
      <c r="H55" s="175"/>
      <c r="I55" s="175"/>
      <c r="J55" s="175"/>
      <c r="K55" s="175"/>
      <c r="L55" s="175"/>
      <c r="M55" s="175"/>
    </row>
    <row r="56" spans="1:13">
      <c r="A56" s="75" t="s">
        <v>108</v>
      </c>
      <c r="B56" s="76" t="s">
        <v>109</v>
      </c>
      <c r="C56" s="183" t="s">
        <v>110</v>
      </c>
      <c r="D56" s="183"/>
      <c r="E56" s="183"/>
      <c r="F56" s="183"/>
      <c r="G56" s="183"/>
      <c r="H56" s="183"/>
      <c r="I56" s="183"/>
      <c r="J56" s="183"/>
      <c r="K56" s="183"/>
      <c r="L56" s="183"/>
      <c r="M56" s="47" t="s">
        <v>78</v>
      </c>
    </row>
    <row r="57" spans="1:13">
      <c r="A57" s="3" t="s">
        <v>184</v>
      </c>
      <c r="B57" s="5" t="s">
        <v>112</v>
      </c>
      <c r="C57" s="177" t="s">
        <v>185</v>
      </c>
      <c r="D57" s="177"/>
      <c r="E57" s="177"/>
      <c r="F57" s="177"/>
      <c r="G57" s="177"/>
      <c r="H57" s="177"/>
      <c r="I57" s="177"/>
      <c r="J57" s="177"/>
      <c r="K57" s="177"/>
      <c r="L57" s="177"/>
      <c r="M57" s="13"/>
    </row>
    <row r="58" spans="1:13" ht="43.5">
      <c r="A58" s="3" t="s">
        <v>124</v>
      </c>
      <c r="B58" s="5" t="s">
        <v>112</v>
      </c>
      <c r="C58" s="177" t="s">
        <v>125</v>
      </c>
      <c r="D58" s="177"/>
      <c r="E58" s="177"/>
      <c r="F58" s="177"/>
      <c r="G58" s="177"/>
      <c r="H58" s="177"/>
      <c r="I58" s="177"/>
      <c r="J58" s="177"/>
      <c r="K58" s="177"/>
      <c r="L58" s="177"/>
      <c r="M58" s="48" t="s">
        <v>186</v>
      </c>
    </row>
  </sheetData>
  <mergeCells count="64">
    <mergeCell ref="A10:M10"/>
    <mergeCell ref="B7:C7"/>
    <mergeCell ref="D7:E7"/>
    <mergeCell ref="F7:L7"/>
    <mergeCell ref="A1:M1"/>
    <mergeCell ref="A2:M2"/>
    <mergeCell ref="A3:M3"/>
    <mergeCell ref="A4:M4"/>
    <mergeCell ref="A5:M5"/>
    <mergeCell ref="B6:C6"/>
    <mergeCell ref="D6:E6"/>
    <mergeCell ref="F6:L6"/>
    <mergeCell ref="B8:C8"/>
    <mergeCell ref="D8:E8"/>
    <mergeCell ref="F8:L8"/>
    <mergeCell ref="A9:M9"/>
    <mergeCell ref="A55:M55"/>
    <mergeCell ref="A53:M53"/>
    <mergeCell ref="A54:M54"/>
    <mergeCell ref="F17:L17"/>
    <mergeCell ref="F18:L18"/>
    <mergeCell ref="F19:L19"/>
    <mergeCell ref="A20:M20"/>
    <mergeCell ref="F22:L22"/>
    <mergeCell ref="F23:L23"/>
    <mergeCell ref="F24:L24"/>
    <mergeCell ref="A21:M21"/>
    <mergeCell ref="F26:L26"/>
    <mergeCell ref="F30:L30"/>
    <mergeCell ref="F52:L52"/>
    <mergeCell ref="C56:L56"/>
    <mergeCell ref="C57:L57"/>
    <mergeCell ref="C58:L58"/>
    <mergeCell ref="F25:L25"/>
    <mergeCell ref="F28:L28"/>
    <mergeCell ref="F29:L29"/>
    <mergeCell ref="A31:M31"/>
    <mergeCell ref="A32:M32"/>
    <mergeCell ref="F33:L33"/>
    <mergeCell ref="F34:L34"/>
    <mergeCell ref="F35:L35"/>
    <mergeCell ref="F36:L36"/>
    <mergeCell ref="F37:L37"/>
    <mergeCell ref="F39:L39"/>
    <mergeCell ref="F50:L50"/>
    <mergeCell ref="F51:L51"/>
    <mergeCell ref="F11:L11"/>
    <mergeCell ref="F12:L12"/>
    <mergeCell ref="F13:L13"/>
    <mergeCell ref="F14:L14"/>
    <mergeCell ref="F15:L15"/>
    <mergeCell ref="F16:L16"/>
    <mergeCell ref="F27:L27"/>
    <mergeCell ref="F38:L38"/>
    <mergeCell ref="F49:L49"/>
    <mergeCell ref="F44:L44"/>
    <mergeCell ref="F45:L45"/>
    <mergeCell ref="F46:L46"/>
    <mergeCell ref="F47:L47"/>
    <mergeCell ref="F48:L48"/>
    <mergeCell ref="F40:L40"/>
    <mergeCell ref="F41:L41"/>
    <mergeCell ref="A42:M42"/>
    <mergeCell ref="A43:M43"/>
  </mergeCells>
  <hyperlinks>
    <hyperlink ref="F23" r:id="rId1" xr:uid="{F8C16B06-CAC6-496A-B7BF-94053ED057DF}"/>
    <hyperlink ref="M58" r:id="rId2" display="https://blauwgroenvlaanderen.be/professionals/maatregelen/waterdoorlatende-onderfundering-met-ondoorlatende-verharding" xr:uid="{2D8C6101-3BF9-4D89-8206-E961199860DA}"/>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91D5-DC0A-425C-870D-8CBF8B890150}">
  <sheetPr codeName="Sheet10">
    <tabColor rgb="FFFEF5D2"/>
  </sheetPr>
  <dimension ref="A1:AE24"/>
  <sheetViews>
    <sheetView zoomScaleNormal="100" workbookViewId="0">
      <selection activeCell="D8" sqref="D8:E8"/>
    </sheetView>
  </sheetViews>
  <sheetFormatPr defaultRowHeight="14.45"/>
  <cols>
    <col min="1" max="1" width="24.140625" customWidth="1"/>
    <col min="2" max="2" width="17.5703125" customWidth="1"/>
    <col min="3" max="3" width="11.5703125" customWidth="1"/>
    <col min="4" max="5" width="12.5703125" customWidth="1"/>
    <col min="13" max="13" width="39.140625" customWidth="1"/>
    <col min="31" max="31" width="103.5703125" customWidth="1"/>
  </cols>
  <sheetData>
    <row r="1" spans="1:31" ht="18.600000000000001">
      <c r="A1" s="237" t="s">
        <v>187</v>
      </c>
      <c r="B1" s="238"/>
      <c r="C1" s="238"/>
      <c r="D1" s="238"/>
      <c r="E1" s="238"/>
      <c r="F1" s="238"/>
      <c r="G1" s="238"/>
      <c r="H1" s="238"/>
      <c r="I1" s="238"/>
      <c r="J1" s="238"/>
      <c r="K1" s="238"/>
      <c r="L1" s="238"/>
      <c r="M1" s="238"/>
    </row>
    <row r="2" spans="1:31" ht="15.6">
      <c r="A2" s="239" t="s">
        <v>71</v>
      </c>
      <c r="B2" s="240"/>
      <c r="C2" s="240"/>
      <c r="D2" s="240"/>
      <c r="E2" s="240"/>
      <c r="F2" s="240"/>
      <c r="G2" s="240"/>
      <c r="H2" s="240"/>
      <c r="I2" s="240"/>
      <c r="J2" s="240"/>
      <c r="K2" s="240"/>
      <c r="L2" s="240"/>
      <c r="M2" s="241"/>
    </row>
    <row r="3" spans="1:31">
      <c r="A3" s="242" t="s">
        <v>72</v>
      </c>
      <c r="B3" s="221"/>
      <c r="C3" s="221"/>
      <c r="D3" s="221"/>
      <c r="E3" s="221"/>
      <c r="F3" s="221"/>
      <c r="G3" s="221"/>
      <c r="H3" s="221"/>
      <c r="I3" s="221"/>
      <c r="J3" s="221"/>
      <c r="K3" s="221"/>
      <c r="L3" s="221"/>
      <c r="M3" s="221"/>
    </row>
    <row r="4" spans="1:31" ht="45.6" customHeight="1">
      <c r="A4" s="172" t="s">
        <v>188</v>
      </c>
      <c r="B4" s="173"/>
      <c r="C4" s="173"/>
      <c r="D4" s="173"/>
      <c r="E4" s="173"/>
      <c r="F4" s="173"/>
      <c r="G4" s="173"/>
      <c r="H4" s="173"/>
      <c r="I4" s="173"/>
      <c r="J4" s="173"/>
      <c r="K4" s="173"/>
      <c r="L4" s="173"/>
      <c r="M4" s="174"/>
    </row>
    <row r="5" spans="1:31">
      <c r="A5" s="243" t="s">
        <v>74</v>
      </c>
      <c r="B5" s="244"/>
      <c r="C5" s="244"/>
      <c r="D5" s="244"/>
      <c r="E5" s="244"/>
      <c r="F5" s="244"/>
      <c r="G5" s="244"/>
      <c r="H5" s="244"/>
      <c r="I5" s="244"/>
      <c r="J5" s="244"/>
      <c r="K5" s="244"/>
      <c r="L5" s="244"/>
      <c r="M5" s="244"/>
    </row>
    <row r="6" spans="1:31">
      <c r="A6" s="27" t="s">
        <v>75</v>
      </c>
      <c r="B6" s="245" t="s">
        <v>76</v>
      </c>
      <c r="C6" s="246"/>
      <c r="D6" s="184" t="s">
        <v>77</v>
      </c>
      <c r="E6" s="184"/>
      <c r="F6" s="247" t="s">
        <v>78</v>
      </c>
      <c r="G6" s="248"/>
      <c r="H6" s="248"/>
      <c r="I6" s="248"/>
      <c r="J6" s="248"/>
      <c r="K6" s="248"/>
      <c r="L6" s="249"/>
      <c r="M6" s="1" t="s">
        <v>128</v>
      </c>
    </row>
    <row r="7" spans="1:31">
      <c r="A7" s="3" t="s">
        <v>80</v>
      </c>
      <c r="B7" s="218" t="s">
        <v>81</v>
      </c>
      <c r="C7" s="219"/>
      <c r="D7" s="195" cm="1">
        <f t="array" ref="D7">(_xlfn.XLOOKUP(A2&amp;'Parameters &amp; assumpties'!B25&amp;'Parameters &amp; assumpties'!B24&amp;'Parameters &amp; assumpties'!B23,InputSirio[Key],InputSirio[total_buffervolume],_xludf.N/A,0,1)/10000)</f>
        <v>3.3000000000000002E-2</v>
      </c>
      <c r="E7" s="195"/>
      <c r="F7" s="234" t="s">
        <v>129</v>
      </c>
      <c r="G7" s="235"/>
      <c r="H7" s="235"/>
      <c r="I7" s="235"/>
      <c r="J7" s="235"/>
      <c r="K7" s="235"/>
      <c r="L7" s="236"/>
      <c r="M7" s="15"/>
    </row>
    <row r="8" spans="1:31" ht="14.45" customHeight="1">
      <c r="A8" s="2" t="s">
        <v>83</v>
      </c>
      <c r="B8" s="218" t="s">
        <v>81</v>
      </c>
      <c r="C8" s="219"/>
      <c r="D8" s="195" cm="1">
        <f t="array" ref="D8">_xlfn.XLOOKUP(A2&amp;'Parameters &amp; assumpties'!B25&amp;'Parameters &amp; assumpties'!B24&amp;'Parameters &amp; assumpties'!B23,InputSirio[Key],InputSirio[MASS_infiltratie (m3/m2 afwaterend opp/jaar)],_xludf.N/A,0,1)</f>
        <v>0.5855689680940076</v>
      </c>
      <c r="E8" s="195"/>
      <c r="F8" s="192" t="s">
        <v>145</v>
      </c>
      <c r="G8" s="216"/>
      <c r="H8" s="216"/>
      <c r="I8" s="216"/>
      <c r="J8" s="216"/>
      <c r="K8" s="216"/>
      <c r="L8" s="217"/>
      <c r="M8" s="111"/>
    </row>
    <row r="9" spans="1:31">
      <c r="A9" s="221" t="s">
        <v>85</v>
      </c>
      <c r="B9" s="221"/>
      <c r="C9" s="221"/>
      <c r="D9" s="221"/>
      <c r="E9" s="221"/>
      <c r="F9" s="221"/>
      <c r="G9" s="221"/>
      <c r="H9" s="221"/>
      <c r="I9" s="221"/>
      <c r="J9" s="221"/>
      <c r="K9" s="221"/>
      <c r="L9" s="221"/>
      <c r="M9" s="222"/>
    </row>
    <row r="10" spans="1:31">
      <c r="A10" s="31" t="s">
        <v>75</v>
      </c>
      <c r="B10" s="31" t="s">
        <v>76</v>
      </c>
      <c r="C10" s="31" t="s">
        <v>38</v>
      </c>
      <c r="D10" s="31" t="s">
        <v>39</v>
      </c>
      <c r="E10" s="32" t="s">
        <v>40</v>
      </c>
      <c r="F10" s="247" t="s">
        <v>78</v>
      </c>
      <c r="G10" s="248"/>
      <c r="H10" s="248"/>
      <c r="I10" s="248"/>
      <c r="J10" s="248"/>
      <c r="K10" s="248"/>
      <c r="L10" s="248"/>
      <c r="M10" s="1" t="s">
        <v>79</v>
      </c>
    </row>
    <row r="11" spans="1:31">
      <c r="A11" s="3" t="s">
        <v>86</v>
      </c>
      <c r="B11" s="3" t="s">
        <v>87</v>
      </c>
      <c r="C11" s="11"/>
      <c r="D11" s="11"/>
      <c r="E11" s="52">
        <f>'Parameters &amp; assumpties'!B9</f>
        <v>50</v>
      </c>
      <c r="F11" s="192" t="s">
        <v>88</v>
      </c>
      <c r="G11" s="219"/>
      <c r="H11" s="219"/>
      <c r="I11" s="219"/>
      <c r="J11" s="219"/>
      <c r="K11" s="219"/>
      <c r="L11" s="219"/>
      <c r="M11" s="3"/>
    </row>
    <row r="12" spans="1:31" ht="131.1" customHeight="1">
      <c r="A12" s="8" t="s">
        <v>130</v>
      </c>
      <c r="B12" s="3" t="s">
        <v>149</v>
      </c>
      <c r="C12" s="102">
        <v>485</v>
      </c>
      <c r="D12" s="102">
        <v>2600</v>
      </c>
      <c r="E12" s="102">
        <f>AVERAGE(C12:D12)</f>
        <v>1542.5</v>
      </c>
      <c r="F12" s="253" t="s">
        <v>189</v>
      </c>
      <c r="G12" s="254"/>
      <c r="H12" s="254"/>
      <c r="I12" s="254"/>
      <c r="J12" s="254"/>
      <c r="K12" s="254"/>
      <c r="L12" s="255"/>
      <c r="M12" s="14" t="s">
        <v>190</v>
      </c>
      <c r="N12" s="42"/>
      <c r="R12" s="229"/>
      <c r="S12" s="229"/>
      <c r="AE12" s="45"/>
    </row>
    <row r="13" spans="1:31" ht="53.1" customHeight="1">
      <c r="A13" s="8" t="s">
        <v>133</v>
      </c>
      <c r="B13" s="3" t="s">
        <v>149</v>
      </c>
      <c r="C13" s="102">
        <f>0.01*C12</f>
        <v>4.8500000000000005</v>
      </c>
      <c r="D13" s="102">
        <f t="shared" ref="D13" si="0">0.01*D12</f>
        <v>26</v>
      </c>
      <c r="E13" s="102">
        <f>0.01*E12</f>
        <v>15.425000000000001</v>
      </c>
      <c r="F13" s="230" t="s">
        <v>191</v>
      </c>
      <c r="G13" s="219"/>
      <c r="H13" s="219"/>
      <c r="I13" s="219"/>
      <c r="J13" s="219"/>
      <c r="K13" s="219"/>
      <c r="L13" s="219"/>
      <c r="M13" s="34"/>
      <c r="N13" s="30"/>
      <c r="O13" s="30"/>
      <c r="P13" s="30"/>
      <c r="Q13" s="30"/>
      <c r="R13" s="30"/>
      <c r="S13" s="30"/>
      <c r="AE13" s="42"/>
    </row>
    <row r="14" spans="1:31" ht="29.1" customHeight="1">
      <c r="A14" s="22" t="s">
        <v>96</v>
      </c>
      <c r="B14" s="16" t="s">
        <v>149</v>
      </c>
      <c r="C14" s="50">
        <f>(-PMT('Parameters &amp; assumpties'!$B$8,$E$11,C12))+C13</f>
        <v>20.284256706292837</v>
      </c>
      <c r="D14" s="50">
        <f>(-PMT('Parameters &amp; assumpties'!$B$8,$E$11,D12))+D13</f>
        <v>108.74034522961107</v>
      </c>
      <c r="E14" s="50">
        <f>(-PMT('Parameters &amp; assumpties'!$B$8,$E$11,E12))+E13</f>
        <v>64.512300967951958</v>
      </c>
      <c r="F14" s="231"/>
      <c r="G14" s="232"/>
      <c r="H14" s="232"/>
      <c r="I14" s="232"/>
      <c r="J14" s="232"/>
      <c r="K14" s="232"/>
      <c r="L14" s="233"/>
      <c r="M14" s="14"/>
      <c r="R14" s="166"/>
      <c r="S14" s="166"/>
    </row>
    <row r="15" spans="1:31">
      <c r="A15" s="10" t="s">
        <v>97</v>
      </c>
      <c r="B15" s="10"/>
      <c r="C15" s="10"/>
      <c r="D15" s="10"/>
      <c r="E15" s="10"/>
      <c r="F15" s="10"/>
      <c r="G15" s="10"/>
      <c r="H15" s="10"/>
      <c r="I15" s="10"/>
      <c r="J15" s="10"/>
      <c r="K15" s="10"/>
      <c r="L15" s="10"/>
      <c r="M15" s="24"/>
    </row>
    <row r="16" spans="1:31">
      <c r="A16" s="31" t="s">
        <v>75</v>
      </c>
      <c r="B16" s="31" t="s">
        <v>76</v>
      </c>
      <c r="C16" s="31" t="s">
        <v>38</v>
      </c>
      <c r="D16" s="31" t="s">
        <v>39</v>
      </c>
      <c r="E16" s="1" t="s">
        <v>40</v>
      </c>
      <c r="F16" s="250" t="s">
        <v>98</v>
      </c>
      <c r="G16" s="251"/>
      <c r="H16" s="251"/>
      <c r="I16" s="251"/>
      <c r="J16" s="251"/>
      <c r="K16" s="251"/>
      <c r="L16" s="252"/>
      <c r="M16" s="1"/>
    </row>
    <row r="17" spans="1:13" ht="29.1">
      <c r="A17" s="8" t="s">
        <v>99</v>
      </c>
      <c r="B17" s="16" t="s">
        <v>100</v>
      </c>
      <c r="C17" s="50">
        <f>C14*$D$7/$D$8</f>
        <v>1.1431283209669691</v>
      </c>
      <c r="D17" s="50">
        <f t="shared" ref="D17" si="1">D14*$D$7/$D$8</f>
        <v>6.1281105866270504</v>
      </c>
      <c r="E17" s="50">
        <f>E14*$D$7/$D$8</f>
        <v>3.6356194537970103</v>
      </c>
      <c r="F17" s="223"/>
      <c r="G17" s="224"/>
      <c r="H17" s="224"/>
      <c r="I17" s="224"/>
      <c r="J17" s="224"/>
      <c r="K17" s="224"/>
      <c r="L17" s="225"/>
      <c r="M17" s="15"/>
    </row>
    <row r="18" spans="1:13" ht="29.1">
      <c r="A18" s="3" t="s">
        <v>102</v>
      </c>
      <c r="B18" s="3" t="s">
        <v>103</v>
      </c>
      <c r="C18" s="51">
        <f t="shared" ref="C18:D18" si="2">C14</f>
        <v>20.284256706292837</v>
      </c>
      <c r="D18" s="51">
        <f t="shared" si="2"/>
        <v>108.74034522961107</v>
      </c>
      <c r="E18" s="51">
        <f>E14</f>
        <v>64.512300967951958</v>
      </c>
      <c r="F18" s="177"/>
      <c r="G18" s="177"/>
      <c r="H18" s="177"/>
      <c r="I18" s="177"/>
      <c r="J18" s="177"/>
      <c r="K18" s="177"/>
      <c r="L18" s="177"/>
      <c r="M18" s="44"/>
    </row>
    <row r="19" spans="1:13">
      <c r="A19" s="221" t="s">
        <v>105</v>
      </c>
      <c r="B19" s="221"/>
      <c r="C19" s="221"/>
      <c r="D19" s="221"/>
      <c r="E19" s="221"/>
      <c r="F19" s="221"/>
      <c r="G19" s="221"/>
      <c r="H19" s="221"/>
      <c r="I19" s="221"/>
      <c r="J19" s="221"/>
      <c r="K19" s="221"/>
      <c r="L19" s="221"/>
      <c r="M19" s="222"/>
    </row>
    <row r="20" spans="1:13" ht="227.45" customHeight="1">
      <c r="A20" s="172" t="s">
        <v>192</v>
      </c>
      <c r="B20" s="173"/>
      <c r="C20" s="173"/>
      <c r="D20" s="173"/>
      <c r="E20" s="173"/>
      <c r="F20" s="173"/>
      <c r="G20" s="173"/>
      <c r="H20" s="173"/>
      <c r="I20" s="173"/>
      <c r="J20" s="173"/>
      <c r="K20" s="173"/>
      <c r="L20" s="173"/>
      <c r="M20" s="174"/>
    </row>
    <row r="21" spans="1:13">
      <c r="A21" s="221" t="s">
        <v>107</v>
      </c>
      <c r="B21" s="221"/>
      <c r="C21" s="221"/>
      <c r="D21" s="221"/>
      <c r="E21" s="221"/>
      <c r="F21" s="221"/>
      <c r="G21" s="221"/>
      <c r="H21" s="221"/>
      <c r="I21" s="221"/>
      <c r="J21" s="221"/>
      <c r="K21" s="221"/>
      <c r="L21" s="221"/>
      <c r="M21" s="222"/>
    </row>
    <row r="22" spans="1:13">
      <c r="A22" s="17" t="s">
        <v>108</v>
      </c>
      <c r="B22" s="18" t="s">
        <v>109</v>
      </c>
      <c r="C22" s="226" t="s">
        <v>110</v>
      </c>
      <c r="D22" s="227"/>
      <c r="E22" s="227"/>
      <c r="F22" s="227"/>
      <c r="G22" s="227"/>
      <c r="H22" s="227"/>
      <c r="I22" s="227"/>
      <c r="J22" s="227"/>
      <c r="K22" s="227"/>
      <c r="L22" s="228"/>
      <c r="M22" s="47" t="s">
        <v>78</v>
      </c>
    </row>
    <row r="23" spans="1:13" ht="29.1" customHeight="1">
      <c r="A23" s="3" t="s">
        <v>184</v>
      </c>
      <c r="B23" s="5" t="s">
        <v>112</v>
      </c>
      <c r="C23" s="218" t="s">
        <v>185</v>
      </c>
      <c r="D23" s="219"/>
      <c r="E23" s="219"/>
      <c r="F23" s="219"/>
      <c r="G23" s="219"/>
      <c r="H23" s="219"/>
      <c r="I23" s="219"/>
      <c r="J23" s="219"/>
      <c r="K23" s="219"/>
      <c r="L23" s="220"/>
      <c r="M23" s="13"/>
    </row>
    <row r="24" spans="1:13" ht="43.5">
      <c r="A24" s="3" t="s">
        <v>124</v>
      </c>
      <c r="B24" s="5" t="s">
        <v>112</v>
      </c>
      <c r="C24" s="218" t="s">
        <v>125</v>
      </c>
      <c r="D24" s="219"/>
      <c r="E24" s="219"/>
      <c r="F24" s="219"/>
      <c r="G24" s="219"/>
      <c r="H24" s="219"/>
      <c r="I24" s="219"/>
      <c r="J24" s="219"/>
      <c r="K24" s="219"/>
      <c r="L24" s="220"/>
      <c r="M24" s="48" t="s">
        <v>186</v>
      </c>
    </row>
  </sheetData>
  <mergeCells count="31">
    <mergeCell ref="B8:C8"/>
    <mergeCell ref="D8:E8"/>
    <mergeCell ref="F8:L8"/>
    <mergeCell ref="A9:M9"/>
    <mergeCell ref="F16:L16"/>
    <mergeCell ref="F10:L10"/>
    <mergeCell ref="F12:L12"/>
    <mergeCell ref="F11:L11"/>
    <mergeCell ref="B7:C7"/>
    <mergeCell ref="D7:E7"/>
    <mergeCell ref="F7:L7"/>
    <mergeCell ref="A1:M1"/>
    <mergeCell ref="A2:M2"/>
    <mergeCell ref="A3:M3"/>
    <mergeCell ref="A4:M4"/>
    <mergeCell ref="A5:M5"/>
    <mergeCell ref="B6:C6"/>
    <mergeCell ref="D6:E6"/>
    <mergeCell ref="F6:L6"/>
    <mergeCell ref="R12:S12"/>
    <mergeCell ref="R14:S14"/>
    <mergeCell ref="F13:L13"/>
    <mergeCell ref="F14:L14"/>
    <mergeCell ref="A19:M19"/>
    <mergeCell ref="C23:L23"/>
    <mergeCell ref="C24:L24"/>
    <mergeCell ref="A20:M20"/>
    <mergeCell ref="A21:M21"/>
    <mergeCell ref="F17:L17"/>
    <mergeCell ref="F18:L18"/>
    <mergeCell ref="C22:L22"/>
  </mergeCells>
  <hyperlinks>
    <hyperlink ref="M24" r:id="rId1" display="https://blauwgroenvlaanderen.be/professionals/maatregelen/waterdoorlatende-onderfundering-met-ondoorlatende-verharding" xr:uid="{7B8147E6-535D-49F3-82EB-3A33C245569D}"/>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C70B-428B-4855-98AE-E3B487CF5DD4}">
  <sheetPr codeName="Sheet3">
    <tabColor rgb="FFFEF5D2"/>
  </sheetPr>
  <dimension ref="A1:N27"/>
  <sheetViews>
    <sheetView topLeftCell="A7" zoomScaleNormal="100" workbookViewId="0">
      <selection activeCell="B37" sqref="B37"/>
    </sheetView>
  </sheetViews>
  <sheetFormatPr defaultRowHeight="14.45"/>
  <cols>
    <col min="1" max="1" width="24.140625" customWidth="1"/>
    <col min="2" max="2" width="17.5703125" customWidth="1"/>
    <col min="3" max="3" width="11.5703125" customWidth="1"/>
    <col min="4" max="5" width="12.5703125" customWidth="1"/>
    <col min="12" max="12" width="1.5703125" customWidth="1"/>
    <col min="13" max="13" width="59.7109375" customWidth="1"/>
    <col min="14" max="14" width="18.85546875" customWidth="1"/>
  </cols>
  <sheetData>
    <row r="1" spans="1:14" ht="18.600000000000001">
      <c r="A1" s="186" t="s">
        <v>52</v>
      </c>
      <c r="B1" s="186"/>
      <c r="C1" s="186"/>
      <c r="D1" s="186"/>
      <c r="E1" s="186"/>
      <c r="F1" s="186"/>
      <c r="G1" s="186"/>
      <c r="H1" s="186"/>
      <c r="I1" s="186"/>
      <c r="J1" s="186"/>
      <c r="K1" s="186"/>
      <c r="L1" s="186"/>
      <c r="M1" s="186"/>
    </row>
    <row r="2" spans="1:14" ht="15.6">
      <c r="A2" s="197" t="s">
        <v>193</v>
      </c>
      <c r="B2" s="197"/>
      <c r="C2" s="197"/>
      <c r="D2" s="197"/>
      <c r="E2" s="197"/>
      <c r="F2" s="197"/>
      <c r="G2" s="197"/>
      <c r="H2" s="197"/>
      <c r="I2" s="197"/>
      <c r="J2" s="197"/>
      <c r="K2" s="197"/>
      <c r="L2" s="197"/>
      <c r="M2" s="197"/>
    </row>
    <row r="3" spans="1:14">
      <c r="A3" s="175" t="s">
        <v>72</v>
      </c>
      <c r="B3" s="175"/>
      <c r="C3" s="175"/>
      <c r="D3" s="175"/>
      <c r="E3" s="175"/>
      <c r="F3" s="175"/>
      <c r="G3" s="175"/>
      <c r="H3" s="175"/>
      <c r="I3" s="175"/>
      <c r="J3" s="175"/>
      <c r="K3" s="175"/>
      <c r="L3" s="175"/>
      <c r="M3" s="175"/>
    </row>
    <row r="4" spans="1:14" ht="51.95" customHeight="1">
      <c r="A4" s="196" t="s">
        <v>194</v>
      </c>
      <c r="B4" s="196"/>
      <c r="C4" s="196"/>
      <c r="D4" s="196"/>
      <c r="E4" s="196"/>
      <c r="F4" s="196"/>
      <c r="G4" s="196"/>
      <c r="H4" s="196"/>
      <c r="I4" s="196"/>
      <c r="J4" s="196"/>
      <c r="K4" s="196"/>
      <c r="L4" s="196"/>
      <c r="M4" s="196"/>
    </row>
    <row r="5" spans="1:14">
      <c r="A5" s="187" t="s">
        <v>74</v>
      </c>
      <c r="B5" s="187"/>
      <c r="C5" s="187"/>
      <c r="D5" s="187"/>
      <c r="E5" s="187"/>
      <c r="F5" s="187"/>
      <c r="G5" s="187"/>
      <c r="H5" s="187"/>
      <c r="I5" s="187"/>
      <c r="J5" s="187"/>
      <c r="K5" s="187"/>
      <c r="L5" s="187"/>
      <c r="M5" s="187"/>
    </row>
    <row r="6" spans="1:14">
      <c r="A6" s="72" t="s">
        <v>75</v>
      </c>
      <c r="B6" s="198" t="s">
        <v>76</v>
      </c>
      <c r="C6" s="198"/>
      <c r="D6" s="184" t="s">
        <v>77</v>
      </c>
      <c r="E6" s="184"/>
      <c r="F6" s="185" t="s">
        <v>78</v>
      </c>
      <c r="G6" s="185"/>
      <c r="H6" s="185"/>
      <c r="I6" s="185"/>
      <c r="J6" s="185"/>
      <c r="K6" s="185"/>
      <c r="L6" s="185"/>
      <c r="M6" s="1" t="s">
        <v>128</v>
      </c>
    </row>
    <row r="7" spans="1:14" ht="29.1" customHeight="1">
      <c r="A7" s="3" t="s">
        <v>83</v>
      </c>
      <c r="B7" s="218" t="s">
        <v>195</v>
      </c>
      <c r="C7" s="220"/>
      <c r="D7" s="195" cm="1">
        <f t="array" ref="D7">_xlfn.XLOOKUP(A2&amp;'Parameters &amp; assumpties'!B25&amp;'Parameters &amp; assumpties'!B24&amp;'Parameters &amp; assumpties'!B23,InputSirio[Key],InputSirio[MASS_infiltratie (m3/m2 afwaterend opp/jaar)],_xludf.N/A,0,1)</f>
        <v>0.57113434168540467</v>
      </c>
      <c r="E7" s="195"/>
      <c r="F7" s="192" t="s">
        <v>145</v>
      </c>
      <c r="G7" s="193"/>
      <c r="H7" s="193"/>
      <c r="I7" s="193"/>
      <c r="J7" s="193"/>
      <c r="K7" s="193"/>
      <c r="L7" s="194"/>
      <c r="M7" s="111"/>
      <c r="N7" s="42"/>
    </row>
    <row r="8" spans="1:14">
      <c r="A8" s="175" t="s">
        <v>85</v>
      </c>
      <c r="B8" s="175"/>
      <c r="C8" s="175"/>
      <c r="D8" s="175"/>
      <c r="E8" s="175"/>
      <c r="F8" s="175"/>
      <c r="G8" s="175"/>
      <c r="H8" s="175"/>
      <c r="I8" s="175"/>
      <c r="J8" s="175"/>
      <c r="K8" s="175"/>
      <c r="L8" s="175"/>
      <c r="M8" s="175"/>
    </row>
    <row r="9" spans="1:14">
      <c r="A9" s="31" t="s">
        <v>75</v>
      </c>
      <c r="B9" s="31" t="s">
        <v>76</v>
      </c>
      <c r="C9" s="31" t="s">
        <v>38</v>
      </c>
      <c r="D9" s="31" t="s">
        <v>39</v>
      </c>
      <c r="E9" s="32" t="s">
        <v>40</v>
      </c>
      <c r="F9" s="185" t="s">
        <v>78</v>
      </c>
      <c r="G9" s="185"/>
      <c r="H9" s="185"/>
      <c r="I9" s="185"/>
      <c r="J9" s="185"/>
      <c r="K9" s="185"/>
      <c r="L9" s="185"/>
      <c r="M9" s="1" t="s">
        <v>79</v>
      </c>
    </row>
    <row r="10" spans="1:14">
      <c r="A10" s="3" t="s">
        <v>86</v>
      </c>
      <c r="B10" s="3" t="s">
        <v>87</v>
      </c>
      <c r="C10" s="59"/>
      <c r="D10" s="59"/>
      <c r="E10" s="59">
        <f>'Parameters &amp; assumpties'!B10</f>
        <v>50</v>
      </c>
      <c r="F10" s="177" t="s">
        <v>88</v>
      </c>
      <c r="G10" s="177"/>
      <c r="H10" s="177"/>
      <c r="I10" s="177"/>
      <c r="J10" s="177"/>
      <c r="K10" s="177"/>
      <c r="L10" s="177"/>
      <c r="M10" s="3"/>
    </row>
    <row r="11" spans="1:14" ht="294" customHeight="1">
      <c r="A11" s="3" t="s">
        <v>130</v>
      </c>
      <c r="B11" s="3" t="s">
        <v>196</v>
      </c>
      <c r="C11" s="86">
        <v>16</v>
      </c>
      <c r="D11" s="86">
        <f>63.68+15</f>
        <v>78.680000000000007</v>
      </c>
      <c r="E11" s="86">
        <f>AVERAGE(C11:D11)</f>
        <v>47.34</v>
      </c>
      <c r="F11" s="190" t="s">
        <v>197</v>
      </c>
      <c r="G11" s="190"/>
      <c r="H11" s="190"/>
      <c r="I11" s="190"/>
      <c r="J11" s="190"/>
      <c r="K11" s="190"/>
      <c r="L11" s="190"/>
      <c r="M11" s="13" t="s">
        <v>198</v>
      </c>
      <c r="N11" s="117"/>
    </row>
    <row r="12" spans="1:14" ht="30.95" customHeight="1">
      <c r="A12" s="3" t="s">
        <v>199</v>
      </c>
      <c r="B12" s="3" t="s">
        <v>196</v>
      </c>
      <c r="C12" s="51">
        <v>0.09</v>
      </c>
      <c r="D12" s="51">
        <v>0.64</v>
      </c>
      <c r="E12" s="51">
        <f>AVERAGE(C12:D12)</f>
        <v>0.36499999999999999</v>
      </c>
      <c r="F12" s="190" t="s">
        <v>200</v>
      </c>
      <c r="G12" s="190"/>
      <c r="H12" s="190"/>
      <c r="I12" s="190"/>
      <c r="J12" s="190"/>
      <c r="K12" s="190"/>
      <c r="L12" s="190"/>
      <c r="M12" s="14" t="s">
        <v>201</v>
      </c>
      <c r="N12" s="42"/>
    </row>
    <row r="13" spans="1:14" ht="29.1">
      <c r="A13" s="3" t="s">
        <v>96</v>
      </c>
      <c r="B13" s="3" t="s">
        <v>196</v>
      </c>
      <c r="C13" s="51">
        <f>(-PMT('Parameters &amp; assumpties'!$B$8,Ontharding!$E$10,Ontharding!C11))+Ontharding!C12</f>
        <v>0.59917135525914511</v>
      </c>
      <c r="D13" s="51">
        <f>(-PMT('Parameters &amp; assumpties'!$B$8,Ontharding!$E$10,Ontharding!D11))+D12</f>
        <v>3.1438501394868466</v>
      </c>
      <c r="E13" s="51">
        <f>(-PMT('Parameters &amp; assumpties'!$B$8,Ontharding!$E$10,Ontharding!E11))+E12</f>
        <v>1.8715107473729955</v>
      </c>
      <c r="F13" s="210"/>
      <c r="G13" s="210"/>
      <c r="H13" s="210"/>
      <c r="I13" s="210"/>
      <c r="J13" s="210"/>
      <c r="K13" s="210"/>
      <c r="L13" s="210"/>
      <c r="M13" s="14"/>
    </row>
    <row r="14" spans="1:14">
      <c r="A14" s="201" t="s">
        <v>97</v>
      </c>
      <c r="B14" s="202"/>
      <c r="C14" s="202"/>
      <c r="D14" s="202"/>
      <c r="E14" s="202"/>
      <c r="F14" s="202"/>
      <c r="G14" s="202"/>
      <c r="H14" s="202"/>
      <c r="I14" s="202"/>
      <c r="J14" s="202"/>
      <c r="K14" s="202"/>
      <c r="L14" s="202"/>
      <c r="M14" s="203"/>
    </row>
    <row r="15" spans="1:14">
      <c r="A15" s="31" t="s">
        <v>75</v>
      </c>
      <c r="B15" s="31" t="s">
        <v>76</v>
      </c>
      <c r="C15" s="80" t="s">
        <v>38</v>
      </c>
      <c r="D15" s="80" t="s">
        <v>39</v>
      </c>
      <c r="E15" s="87" t="s">
        <v>40</v>
      </c>
      <c r="F15" s="178" t="s">
        <v>98</v>
      </c>
      <c r="G15" s="178"/>
      <c r="H15" s="178"/>
      <c r="I15" s="178"/>
      <c r="J15" s="178"/>
      <c r="K15" s="178"/>
      <c r="L15" s="178"/>
      <c r="M15" s="1"/>
    </row>
    <row r="16" spans="1:14" ht="29.1">
      <c r="A16" s="3" t="s">
        <v>99</v>
      </c>
      <c r="B16" s="3" t="s">
        <v>100</v>
      </c>
      <c r="C16" s="88">
        <f>C13/$D7</f>
        <v>1.0490900503216176</v>
      </c>
      <c r="D16" s="88">
        <f t="shared" ref="D16" si="0">D13/$D7</f>
        <v>5.5045720595427952</v>
      </c>
      <c r="E16" s="88">
        <f>E13/$D7</f>
        <v>3.2768310549322059</v>
      </c>
      <c r="F16" s="177"/>
      <c r="G16" s="177"/>
      <c r="H16" s="177"/>
      <c r="I16" s="177"/>
      <c r="J16" s="177"/>
      <c r="K16" s="177"/>
      <c r="L16" s="177"/>
      <c r="M16" s="15"/>
    </row>
    <row r="17" spans="1:13">
      <c r="A17" s="175" t="s">
        <v>105</v>
      </c>
      <c r="B17" s="175"/>
      <c r="C17" s="175"/>
      <c r="D17" s="175"/>
      <c r="E17" s="175"/>
      <c r="F17" s="175"/>
      <c r="G17" s="175"/>
      <c r="H17" s="175"/>
      <c r="I17" s="175"/>
      <c r="J17" s="175"/>
      <c r="K17" s="175"/>
      <c r="L17" s="175"/>
      <c r="M17" s="175"/>
    </row>
    <row r="18" spans="1:13" ht="83.45" customHeight="1">
      <c r="A18" s="172" t="s">
        <v>202</v>
      </c>
      <c r="B18" s="173"/>
      <c r="C18" s="173"/>
      <c r="D18" s="173"/>
      <c r="E18" s="173"/>
      <c r="F18" s="173"/>
      <c r="G18" s="173"/>
      <c r="H18" s="173"/>
      <c r="I18" s="173"/>
      <c r="J18" s="173"/>
      <c r="K18" s="173"/>
      <c r="L18" s="173"/>
      <c r="M18" s="174"/>
    </row>
    <row r="19" spans="1:13">
      <c r="A19" s="175" t="s">
        <v>107</v>
      </c>
      <c r="B19" s="175"/>
      <c r="C19" s="175"/>
      <c r="D19" s="175"/>
      <c r="E19" s="175"/>
      <c r="F19" s="175"/>
      <c r="G19" s="175"/>
      <c r="H19" s="175"/>
      <c r="I19" s="175"/>
      <c r="J19" s="175"/>
      <c r="K19" s="175"/>
      <c r="L19" s="175"/>
      <c r="M19" s="175"/>
    </row>
    <row r="20" spans="1:13">
      <c r="A20" s="75" t="s">
        <v>108</v>
      </c>
      <c r="B20" s="76" t="s">
        <v>109</v>
      </c>
      <c r="C20" s="183" t="s">
        <v>110</v>
      </c>
      <c r="D20" s="183"/>
      <c r="E20" s="183"/>
      <c r="F20" s="183"/>
      <c r="G20" s="183"/>
      <c r="H20" s="183"/>
      <c r="I20" s="183"/>
      <c r="J20" s="183"/>
      <c r="K20" s="183"/>
      <c r="L20" s="183"/>
      <c r="M20" s="47" t="s">
        <v>78</v>
      </c>
    </row>
    <row r="21" spans="1:13" ht="29.1" customHeight="1">
      <c r="A21" s="3" t="s">
        <v>111</v>
      </c>
      <c r="B21" s="5" t="s">
        <v>112</v>
      </c>
      <c r="C21" s="177" t="s">
        <v>203</v>
      </c>
      <c r="D21" s="177"/>
      <c r="E21" s="177"/>
      <c r="F21" s="177"/>
      <c r="G21" s="177"/>
      <c r="H21" s="177"/>
      <c r="I21" s="177"/>
      <c r="J21" s="177"/>
      <c r="K21" s="177"/>
      <c r="L21" s="177"/>
      <c r="M21" s="48" t="s">
        <v>204</v>
      </c>
    </row>
    <row r="22" spans="1:13" ht="14.45" customHeight="1">
      <c r="A22" s="3" t="s">
        <v>115</v>
      </c>
      <c r="B22" s="5" t="s">
        <v>112</v>
      </c>
      <c r="C22" s="177" t="s">
        <v>116</v>
      </c>
      <c r="D22" s="177"/>
      <c r="E22" s="177"/>
      <c r="F22" s="177"/>
      <c r="G22" s="177"/>
      <c r="H22" s="177"/>
      <c r="I22" s="177"/>
      <c r="J22" s="177"/>
      <c r="K22" s="177"/>
      <c r="L22" s="177"/>
      <c r="M22" s="48" t="s">
        <v>205</v>
      </c>
    </row>
    <row r="23" spans="1:13" ht="14.45" customHeight="1">
      <c r="A23" s="3" t="s">
        <v>118</v>
      </c>
      <c r="B23" s="5" t="s">
        <v>112</v>
      </c>
      <c r="C23" s="177" t="s">
        <v>206</v>
      </c>
      <c r="D23" s="177"/>
      <c r="E23" s="177"/>
      <c r="F23" s="177"/>
      <c r="G23" s="177"/>
      <c r="H23" s="177"/>
      <c r="I23" s="177"/>
      <c r="J23" s="177"/>
      <c r="K23" s="177"/>
      <c r="L23" s="177"/>
      <c r="M23" s="48" t="s">
        <v>205</v>
      </c>
    </row>
    <row r="24" spans="1:13" ht="14.45" customHeight="1">
      <c r="A24" s="3" t="s">
        <v>120</v>
      </c>
      <c r="B24" s="5" t="s">
        <v>112</v>
      </c>
      <c r="C24" s="177" t="s">
        <v>121</v>
      </c>
      <c r="D24" s="177"/>
      <c r="E24" s="177"/>
      <c r="F24" s="177"/>
      <c r="G24" s="177"/>
      <c r="H24" s="177"/>
      <c r="I24" s="177"/>
      <c r="J24" s="177"/>
      <c r="K24" s="177"/>
      <c r="L24" s="177"/>
      <c r="M24" s="48" t="s">
        <v>204</v>
      </c>
    </row>
    <row r="25" spans="1:13" ht="29.1" customHeight="1">
      <c r="A25" s="3" t="s">
        <v>122</v>
      </c>
      <c r="B25" s="5" t="s">
        <v>112</v>
      </c>
      <c r="C25" s="177" t="s">
        <v>123</v>
      </c>
      <c r="D25" s="177"/>
      <c r="E25" s="177"/>
      <c r="F25" s="177"/>
      <c r="G25" s="177"/>
      <c r="H25" s="177"/>
      <c r="I25" s="177"/>
      <c r="J25" s="177"/>
      <c r="K25" s="177"/>
      <c r="L25" s="177"/>
      <c r="M25" s="48" t="s">
        <v>204</v>
      </c>
    </row>
    <row r="26" spans="1:13" ht="29.1" customHeight="1">
      <c r="A26" s="3" t="s">
        <v>207</v>
      </c>
      <c r="B26" s="5" t="s">
        <v>112</v>
      </c>
      <c r="C26" s="177" t="s">
        <v>208</v>
      </c>
      <c r="D26" s="177"/>
      <c r="E26" s="177"/>
      <c r="F26" s="177"/>
      <c r="G26" s="177"/>
      <c r="H26" s="177"/>
      <c r="I26" s="177"/>
      <c r="J26" s="177"/>
      <c r="K26" s="177"/>
      <c r="L26" s="177"/>
      <c r="M26" s="48" t="s">
        <v>205</v>
      </c>
    </row>
    <row r="27" spans="1:13" ht="14.45" customHeight="1">
      <c r="A27" s="3" t="s">
        <v>124</v>
      </c>
      <c r="B27" s="5" t="s">
        <v>112</v>
      </c>
      <c r="C27" s="177" t="s">
        <v>125</v>
      </c>
      <c r="D27" s="177"/>
      <c r="E27" s="177"/>
      <c r="F27" s="177"/>
      <c r="G27" s="177"/>
      <c r="H27" s="177"/>
      <c r="I27" s="177"/>
      <c r="J27" s="177"/>
      <c r="K27" s="177"/>
      <c r="L27" s="177"/>
      <c r="M27" s="48" t="s">
        <v>205</v>
      </c>
    </row>
  </sheetData>
  <mergeCells count="31">
    <mergeCell ref="C22:L22"/>
    <mergeCell ref="A19:M19"/>
    <mergeCell ref="F15:L15"/>
    <mergeCell ref="F16:L16"/>
    <mergeCell ref="C20:L20"/>
    <mergeCell ref="C21:L21"/>
    <mergeCell ref="A18:M18"/>
    <mergeCell ref="C23:L23"/>
    <mergeCell ref="C24:L24"/>
    <mergeCell ref="C25:L25"/>
    <mergeCell ref="C26:L26"/>
    <mergeCell ref="C27:L27"/>
    <mergeCell ref="F11:L11"/>
    <mergeCell ref="F12:L12"/>
    <mergeCell ref="F13:L13"/>
    <mergeCell ref="A17:M17"/>
    <mergeCell ref="A14:M14"/>
    <mergeCell ref="F10:L10"/>
    <mergeCell ref="A8:M8"/>
    <mergeCell ref="F9:L9"/>
    <mergeCell ref="B7:C7"/>
    <mergeCell ref="D7:E7"/>
    <mergeCell ref="F7:L7"/>
    <mergeCell ref="B6:C6"/>
    <mergeCell ref="D6:E6"/>
    <mergeCell ref="F6:L6"/>
    <mergeCell ref="A1:M1"/>
    <mergeCell ref="A2:M2"/>
    <mergeCell ref="A3:M3"/>
    <mergeCell ref="A4:M4"/>
    <mergeCell ref="A5:M5"/>
  </mergeCells>
  <hyperlinks>
    <hyperlink ref="M26" r:id="rId1" display="https://omgeving.vlaanderen.be/waarom-ontharden" xr:uid="{EE450324-AE00-45BE-AEA0-ACC0C53BA6D1}"/>
    <hyperlink ref="M25" r:id="rId2" display="https://blauwgroenvlaanderen.be/bewoners/maatregelen/onthard-je-oprit-en-terras/" xr:uid="{83051A9D-1FF9-4EC2-8F6D-EEA24287877A}"/>
    <hyperlink ref="M21" r:id="rId3" display="https://blauwgroenvlaanderen.be/bewoners/maatregelen/onthard-je-oprit-en-terras/" xr:uid="{34C80989-CA95-4D39-96F9-5ECAACC668A3}"/>
    <hyperlink ref="M24" r:id="rId4" display="https://blauwgroenvlaanderen.be/bewoners/maatregelen/onthard-je-oprit-en-terras/" xr:uid="{FD96447F-0D4A-4A8A-84B8-31F66F73D1C5}"/>
    <hyperlink ref="M27" r:id="rId5" display="https://omgeving.vlaanderen.be/waarom-ontharden" xr:uid="{46DCCE05-A188-44AD-92EB-5B2FD0E9586A}"/>
    <hyperlink ref="M22" r:id="rId6" display="https://omgeving.vlaanderen.be/waarom-ontharden" xr:uid="{FB6DFCF8-CA25-45F6-A1E9-D178522184D3}"/>
    <hyperlink ref="M23" r:id="rId7" display="https://omgeving.vlaanderen.be/waarom-ontharden" xr:uid="{C2E97791-0144-48E3-8D41-F33EC94C365D}"/>
  </hyperlinks>
  <pageMargins left="0.7" right="0.7" top="0.75" bottom="0.75" header="0.3" footer="0.3"/>
  <pageSetup paperSize="9"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6409-CAFB-41FF-B95C-83A91136993E}">
  <sheetPr codeName="Sheet4">
    <tabColor rgb="FFFEF5D2"/>
  </sheetPr>
  <dimension ref="A1:T24"/>
  <sheetViews>
    <sheetView zoomScaleNormal="100" workbookViewId="0">
      <selection activeCell="A25" sqref="A25:XFD25"/>
    </sheetView>
  </sheetViews>
  <sheetFormatPr defaultRowHeight="14.45"/>
  <cols>
    <col min="1" max="1" width="24.140625" customWidth="1"/>
    <col min="2" max="2" width="17.5703125" customWidth="1"/>
    <col min="3" max="3" width="11.5703125" customWidth="1"/>
    <col min="4" max="5" width="12.5703125" customWidth="1"/>
    <col min="13" max="13" width="86.140625" customWidth="1"/>
  </cols>
  <sheetData>
    <row r="1" spans="1:20" ht="18.600000000000001">
      <c r="A1" s="186" t="s">
        <v>209</v>
      </c>
      <c r="B1" s="186"/>
      <c r="C1" s="186"/>
      <c r="D1" s="186"/>
      <c r="E1" s="186"/>
      <c r="F1" s="186"/>
      <c r="G1" s="186"/>
      <c r="H1" s="186"/>
      <c r="I1" s="186"/>
      <c r="J1" s="186"/>
      <c r="K1" s="186"/>
      <c r="L1" s="186"/>
      <c r="M1" s="186"/>
    </row>
    <row r="2" spans="1:20" ht="15.6">
      <c r="A2" s="197" t="s">
        <v>193</v>
      </c>
      <c r="B2" s="197"/>
      <c r="C2" s="197"/>
      <c r="D2" s="197"/>
      <c r="E2" s="197"/>
      <c r="F2" s="197"/>
      <c r="G2" s="197"/>
      <c r="H2" s="197"/>
      <c r="I2" s="197"/>
      <c r="J2" s="197"/>
      <c r="K2" s="197"/>
      <c r="L2" s="197"/>
      <c r="M2" s="197"/>
    </row>
    <row r="3" spans="1:20">
      <c r="A3" s="175" t="s">
        <v>72</v>
      </c>
      <c r="B3" s="175"/>
      <c r="C3" s="175"/>
      <c r="D3" s="175"/>
      <c r="E3" s="175"/>
      <c r="F3" s="175"/>
      <c r="G3" s="175"/>
      <c r="H3" s="175"/>
      <c r="I3" s="175"/>
      <c r="J3" s="175"/>
      <c r="K3" s="175"/>
      <c r="L3" s="175"/>
      <c r="M3" s="175"/>
    </row>
    <row r="4" spans="1:20" ht="96" customHeight="1">
      <c r="A4" s="196" t="s">
        <v>210</v>
      </c>
      <c r="B4" s="196"/>
      <c r="C4" s="196"/>
      <c r="D4" s="196"/>
      <c r="E4" s="196"/>
      <c r="F4" s="196"/>
      <c r="G4" s="196"/>
      <c r="H4" s="196"/>
      <c r="I4" s="196"/>
      <c r="J4" s="196"/>
      <c r="K4" s="196"/>
      <c r="L4" s="196"/>
      <c r="M4" s="196"/>
    </row>
    <row r="5" spans="1:20">
      <c r="A5" s="187" t="s">
        <v>74</v>
      </c>
      <c r="B5" s="187"/>
      <c r="C5" s="187"/>
      <c r="D5" s="187"/>
      <c r="E5" s="187"/>
      <c r="F5" s="187"/>
      <c r="G5" s="187"/>
      <c r="H5" s="187"/>
      <c r="I5" s="187"/>
      <c r="J5" s="187"/>
      <c r="K5" s="187"/>
      <c r="L5" s="187"/>
      <c r="M5" s="187"/>
    </row>
    <row r="6" spans="1:20">
      <c r="A6" s="72" t="s">
        <v>75</v>
      </c>
      <c r="B6" s="198" t="s">
        <v>76</v>
      </c>
      <c r="C6" s="198"/>
      <c r="D6" s="184" t="s">
        <v>77</v>
      </c>
      <c r="E6" s="184"/>
      <c r="F6" s="185" t="s">
        <v>78</v>
      </c>
      <c r="G6" s="185"/>
      <c r="H6" s="185"/>
      <c r="I6" s="185"/>
      <c r="J6" s="185"/>
      <c r="K6" s="185"/>
      <c r="L6" s="185"/>
      <c r="M6" s="1" t="s">
        <v>128</v>
      </c>
    </row>
    <row r="7" spans="1:20" ht="29.1" customHeight="1">
      <c r="A7" s="3" t="s">
        <v>83</v>
      </c>
      <c r="B7" s="218" t="s">
        <v>195</v>
      </c>
      <c r="C7" s="220"/>
      <c r="D7" s="257" cm="1">
        <f t="array" ref="D7">_xlfn.XLOOKUP(A2&amp;'Parameters &amp; assumpties'!B25&amp;'Parameters &amp; assumpties'!B24&amp;'Parameters &amp; assumpties'!B23,InputSirio[Key],InputSirio[MASS_infiltratie (m3/m2 afwaterend opp/jaar)],_xludf.N/A,0,1)</f>
        <v>0.57113434168540467</v>
      </c>
      <c r="E7" s="258"/>
      <c r="F7" s="192" t="s">
        <v>145</v>
      </c>
      <c r="G7" s="216"/>
      <c r="H7" s="216"/>
      <c r="I7" s="216"/>
      <c r="J7" s="216"/>
      <c r="K7" s="216"/>
      <c r="L7" s="217"/>
      <c r="M7" s="111"/>
      <c r="N7" s="42"/>
    </row>
    <row r="8" spans="1:20">
      <c r="A8" s="175" t="s">
        <v>85</v>
      </c>
      <c r="B8" s="175"/>
      <c r="C8" s="175"/>
      <c r="D8" s="175"/>
      <c r="E8" s="175"/>
      <c r="F8" s="175"/>
      <c r="G8" s="175"/>
      <c r="H8" s="175"/>
      <c r="I8" s="175"/>
      <c r="J8" s="175"/>
      <c r="K8" s="175"/>
      <c r="L8" s="175"/>
      <c r="M8" s="175"/>
      <c r="N8" s="42"/>
    </row>
    <row r="9" spans="1:20" ht="36" customHeight="1">
      <c r="A9" s="31" t="s">
        <v>75</v>
      </c>
      <c r="B9" s="31" t="s">
        <v>76</v>
      </c>
      <c r="C9" s="31" t="s">
        <v>38</v>
      </c>
      <c r="D9" s="31" t="s">
        <v>39</v>
      </c>
      <c r="E9" s="32" t="s">
        <v>40</v>
      </c>
      <c r="F9" s="185" t="s">
        <v>78</v>
      </c>
      <c r="G9" s="185"/>
      <c r="H9" s="185"/>
      <c r="I9" s="185"/>
      <c r="J9" s="185"/>
      <c r="K9" s="185"/>
      <c r="L9" s="185"/>
      <c r="M9" s="1" t="s">
        <v>79</v>
      </c>
    </row>
    <row r="10" spans="1:20">
      <c r="A10" s="3" t="s">
        <v>86</v>
      </c>
      <c r="B10" s="3" t="s">
        <v>87</v>
      </c>
      <c r="C10" s="3"/>
      <c r="D10" s="3"/>
      <c r="E10" s="59">
        <f>'Parameters &amp; assumpties'!B9</f>
        <v>50</v>
      </c>
      <c r="F10" s="177" t="s">
        <v>88</v>
      </c>
      <c r="G10" s="177"/>
      <c r="H10" s="177"/>
      <c r="I10" s="177"/>
      <c r="J10" s="177"/>
      <c r="K10" s="177"/>
      <c r="L10" s="177"/>
      <c r="M10" s="3"/>
      <c r="N10" s="256"/>
      <c r="O10" s="256"/>
      <c r="P10" s="256"/>
      <c r="Q10" s="256"/>
      <c r="R10" s="256"/>
      <c r="S10" s="256"/>
      <c r="T10" s="256"/>
    </row>
    <row r="11" spans="1:20" ht="159.6" customHeight="1">
      <c r="A11" s="3" t="s">
        <v>130</v>
      </c>
      <c r="B11" s="3" t="s">
        <v>196</v>
      </c>
      <c r="C11" s="68">
        <f>20+10</f>
        <v>30</v>
      </c>
      <c r="D11" s="68">
        <f>150+10</f>
        <v>160</v>
      </c>
      <c r="E11" s="89">
        <f>AVERAGE((10+AVERAGE((34/0.75),28,60,AVERAGE(50,150),AVERAGE(40,70),AVERAGE(20,150))),80)</f>
        <v>76.111111111111114</v>
      </c>
      <c r="F11" s="190" t="s">
        <v>211</v>
      </c>
      <c r="G11" s="190"/>
      <c r="H11" s="190"/>
      <c r="I11" s="190"/>
      <c r="J11" s="190"/>
      <c r="K11" s="190"/>
      <c r="L11" s="190"/>
      <c r="M11" s="147" t="s">
        <v>212</v>
      </c>
      <c r="N11" s="100"/>
    </row>
    <row r="12" spans="1:20" ht="135.94999999999999" customHeight="1">
      <c r="A12" s="3" t="s">
        <v>133</v>
      </c>
      <c r="B12" s="3" t="s">
        <v>196</v>
      </c>
      <c r="C12" s="51">
        <v>0.95</v>
      </c>
      <c r="D12" s="51">
        <v>6.1</v>
      </c>
      <c r="E12" s="41">
        <f>AVERAGE(C12:D12)</f>
        <v>3.5249999999999999</v>
      </c>
      <c r="F12" s="190" t="s">
        <v>213</v>
      </c>
      <c r="G12" s="190"/>
      <c r="H12" s="190"/>
      <c r="I12" s="190"/>
      <c r="J12" s="190"/>
      <c r="K12" s="190"/>
      <c r="L12" s="190"/>
      <c r="M12" s="14" t="s">
        <v>214</v>
      </c>
    </row>
    <row r="13" spans="1:20" ht="29.1">
      <c r="A13" s="3" t="s">
        <v>96</v>
      </c>
      <c r="B13" s="3" t="s">
        <v>196</v>
      </c>
      <c r="C13" s="51">
        <f>(-PMT('Parameters &amp; assumpties'!$B$8,E10,C11))+C12</f>
        <v>1.9046962911108971</v>
      </c>
      <c r="D13" s="51">
        <f>(-PMT('Parameters &amp; assumpties'!$B$8,E10,D11))+D12</f>
        <v>11.19171355259145</v>
      </c>
      <c r="E13" s="51">
        <f>(-PMT('Parameters &amp; assumpties'!$B$8,E10,E11))+E12</f>
        <v>5.9470998496702387</v>
      </c>
      <c r="F13" s="210"/>
      <c r="G13" s="210"/>
      <c r="H13" s="210"/>
      <c r="I13" s="210"/>
      <c r="J13" s="210"/>
      <c r="K13" s="210"/>
      <c r="L13" s="210"/>
      <c r="M13" s="14"/>
    </row>
    <row r="14" spans="1:20">
      <c r="A14" s="74" t="s">
        <v>97</v>
      </c>
      <c r="B14" s="74"/>
      <c r="C14" s="74"/>
      <c r="D14" s="74"/>
      <c r="E14" s="74"/>
      <c r="F14" s="204"/>
      <c r="G14" s="205"/>
      <c r="H14" s="205"/>
      <c r="I14" s="205"/>
      <c r="J14" s="205"/>
      <c r="K14" s="205"/>
      <c r="L14" s="206"/>
      <c r="M14" s="74"/>
    </row>
    <row r="15" spans="1:20">
      <c r="A15" s="31" t="s">
        <v>75</v>
      </c>
      <c r="B15" s="31" t="s">
        <v>76</v>
      </c>
      <c r="C15" s="31" t="s">
        <v>38</v>
      </c>
      <c r="D15" s="31" t="s">
        <v>39</v>
      </c>
      <c r="E15" s="1" t="s">
        <v>40</v>
      </c>
      <c r="F15" s="178" t="s">
        <v>98</v>
      </c>
      <c r="G15" s="178"/>
      <c r="H15" s="178"/>
      <c r="I15" s="178"/>
      <c r="J15" s="178"/>
      <c r="K15" s="178"/>
      <c r="L15" s="178"/>
      <c r="M15" s="1"/>
    </row>
    <row r="16" spans="1:20" ht="29.1">
      <c r="A16" s="3" t="s">
        <v>99</v>
      </c>
      <c r="B16" s="3" t="s">
        <v>100</v>
      </c>
      <c r="C16" s="51">
        <f>C13/$D7</f>
        <v>3.3349356746613781</v>
      </c>
      <c r="D16" s="51">
        <f t="shared" ref="D16:E16" si="0">D13/$D7</f>
        <v>19.595588525748518</v>
      </c>
      <c r="E16" s="51">
        <f t="shared" si="0"/>
        <v>10.412786301941642</v>
      </c>
      <c r="F16" s="177"/>
      <c r="G16" s="177"/>
      <c r="H16" s="177"/>
      <c r="I16" s="177"/>
      <c r="J16" s="177"/>
      <c r="K16" s="177"/>
      <c r="L16" s="177"/>
      <c r="M16" s="15"/>
    </row>
    <row r="17" spans="1:13">
      <c r="A17" s="175" t="s">
        <v>105</v>
      </c>
      <c r="B17" s="175"/>
      <c r="C17" s="175"/>
      <c r="D17" s="175"/>
      <c r="E17" s="175"/>
      <c r="F17" s="175"/>
      <c r="G17" s="175"/>
      <c r="H17" s="175"/>
      <c r="I17" s="175"/>
      <c r="J17" s="175"/>
      <c r="K17" s="175"/>
      <c r="L17" s="175"/>
      <c r="M17" s="175"/>
    </row>
    <row r="18" spans="1:13" ht="83.45" customHeight="1">
      <c r="A18" s="196" t="s">
        <v>215</v>
      </c>
      <c r="B18" s="196"/>
      <c r="C18" s="196"/>
      <c r="D18" s="196"/>
      <c r="E18" s="196"/>
      <c r="F18" s="196"/>
      <c r="G18" s="196"/>
      <c r="H18" s="196"/>
      <c r="I18" s="196"/>
      <c r="J18" s="196"/>
      <c r="K18" s="196"/>
      <c r="L18" s="196"/>
      <c r="M18" s="196"/>
    </row>
    <row r="19" spans="1:13">
      <c r="A19" s="175" t="s">
        <v>107</v>
      </c>
      <c r="B19" s="175"/>
      <c r="C19" s="175"/>
      <c r="D19" s="175"/>
      <c r="E19" s="175"/>
      <c r="F19" s="175"/>
      <c r="G19" s="175"/>
      <c r="H19" s="175"/>
      <c r="I19" s="175"/>
      <c r="J19" s="175"/>
      <c r="K19" s="175"/>
      <c r="L19" s="175"/>
      <c r="M19" s="175"/>
    </row>
    <row r="20" spans="1:13">
      <c r="A20" s="75" t="s">
        <v>108</v>
      </c>
      <c r="B20" s="76" t="s">
        <v>109</v>
      </c>
      <c r="C20" s="183" t="s">
        <v>110</v>
      </c>
      <c r="D20" s="183"/>
      <c r="E20" s="183"/>
      <c r="F20" s="183"/>
      <c r="G20" s="183"/>
      <c r="H20" s="183"/>
      <c r="I20" s="183"/>
      <c r="J20" s="183"/>
      <c r="K20" s="183"/>
      <c r="L20" s="183"/>
      <c r="M20" s="47" t="s">
        <v>78</v>
      </c>
    </row>
    <row r="21" spans="1:13" ht="14.45" customHeight="1">
      <c r="A21" s="3" t="s">
        <v>120</v>
      </c>
      <c r="B21" s="5" t="s">
        <v>112</v>
      </c>
      <c r="C21" s="177" t="s">
        <v>216</v>
      </c>
      <c r="D21" s="177"/>
      <c r="E21" s="177"/>
      <c r="F21" s="177"/>
      <c r="G21" s="177"/>
      <c r="H21" s="177"/>
      <c r="I21" s="177"/>
      <c r="J21" s="177"/>
      <c r="K21" s="177"/>
      <c r="L21" s="177"/>
      <c r="M21" s="48" t="s">
        <v>217</v>
      </c>
    </row>
    <row r="22" spans="1:13" ht="14.45" customHeight="1">
      <c r="A22" s="3" t="s">
        <v>207</v>
      </c>
      <c r="B22" s="5" t="s">
        <v>112</v>
      </c>
      <c r="C22" s="177" t="s">
        <v>208</v>
      </c>
      <c r="D22" s="177"/>
      <c r="E22" s="177"/>
      <c r="F22" s="177"/>
      <c r="G22" s="177"/>
      <c r="H22" s="177"/>
      <c r="I22" s="177"/>
      <c r="J22" s="177"/>
      <c r="K22" s="177"/>
      <c r="L22" s="177"/>
      <c r="M22" s="48" t="s">
        <v>205</v>
      </c>
    </row>
    <row r="23" spans="1:13" ht="14.45" customHeight="1">
      <c r="A23" s="3" t="s">
        <v>124</v>
      </c>
      <c r="B23" s="5" t="s">
        <v>112</v>
      </c>
      <c r="C23" s="177" t="s">
        <v>125</v>
      </c>
      <c r="D23" s="177"/>
      <c r="E23" s="177"/>
      <c r="F23" s="177"/>
      <c r="G23" s="177"/>
      <c r="H23" s="177"/>
      <c r="I23" s="177"/>
      <c r="J23" s="177"/>
      <c r="K23" s="177"/>
      <c r="L23" s="177"/>
      <c r="M23" s="48" t="s">
        <v>217</v>
      </c>
    </row>
    <row r="24" spans="1:13" ht="14.45" customHeight="1">
      <c r="A24" s="3" t="s">
        <v>218</v>
      </c>
      <c r="B24" s="5" t="s">
        <v>219</v>
      </c>
      <c r="C24" s="177" t="s">
        <v>220</v>
      </c>
      <c r="D24" s="177"/>
      <c r="E24" s="177"/>
      <c r="F24" s="177"/>
      <c r="G24" s="177"/>
      <c r="H24" s="177"/>
      <c r="I24" s="177"/>
      <c r="J24" s="177"/>
      <c r="K24" s="177"/>
      <c r="L24" s="177"/>
      <c r="M24" s="48" t="s">
        <v>221</v>
      </c>
    </row>
  </sheetData>
  <mergeCells count="29">
    <mergeCell ref="C24:L24"/>
    <mergeCell ref="A17:M17"/>
    <mergeCell ref="F15:L15"/>
    <mergeCell ref="F16:L16"/>
    <mergeCell ref="A18:M18"/>
    <mergeCell ref="A19:M19"/>
    <mergeCell ref="C20:L20"/>
    <mergeCell ref="C21:L21"/>
    <mergeCell ref="C22:L22"/>
    <mergeCell ref="C23:L23"/>
    <mergeCell ref="A1:M1"/>
    <mergeCell ref="A2:M2"/>
    <mergeCell ref="A3:M3"/>
    <mergeCell ref="A4:M4"/>
    <mergeCell ref="A5:M5"/>
    <mergeCell ref="N10:T10"/>
    <mergeCell ref="F14:L14"/>
    <mergeCell ref="B6:C6"/>
    <mergeCell ref="D6:E6"/>
    <mergeCell ref="F6:L6"/>
    <mergeCell ref="A8:M8"/>
    <mergeCell ref="F9:L9"/>
    <mergeCell ref="F10:L10"/>
    <mergeCell ref="F11:L11"/>
    <mergeCell ref="F12:L12"/>
    <mergeCell ref="F13:L13"/>
    <mergeCell ref="B7:C7"/>
    <mergeCell ref="D7:E7"/>
    <mergeCell ref="F7:L7"/>
  </mergeCells>
  <hyperlinks>
    <hyperlink ref="M22" r:id="rId1" display="https://omgeving.vlaanderen.be/waarom-ontharden" xr:uid="{F6C0DBA3-3305-4192-96EB-A6E01E084711}"/>
    <hyperlink ref="M24" r:id="rId2" display="https://www.vmm.be/water/bouwen/regenwater/infiltratie" xr:uid="{B7017A49-F571-45F8-8E18-B927F0D43711}"/>
    <hyperlink ref="M21" r:id="rId3" display="https://blauwgroenvlaanderen.be/scholen/maatregelen/waterdoorlatende-halfverharding/" xr:uid="{C0C2F33C-84B2-4395-9C79-FDC435552D95}"/>
    <hyperlink ref="M23" r:id="rId4" display="https://blauwgroenvlaanderen.be/scholen/maatregelen/waterdoorlatende-halfverharding/" xr:uid="{102559C6-76B1-4F24-972B-1D4E33A957FC}"/>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C760-029A-417D-A4DE-1585A29B1C22}">
  <sheetPr>
    <tabColor rgb="FFFEF5D2"/>
  </sheetPr>
  <dimension ref="A1:T24"/>
  <sheetViews>
    <sheetView zoomScaleNormal="100" workbookViewId="0">
      <selection activeCell="E35" sqref="E35"/>
    </sheetView>
  </sheetViews>
  <sheetFormatPr defaultColWidth="8.7109375" defaultRowHeight="14.45"/>
  <cols>
    <col min="1" max="1" width="24.140625" customWidth="1"/>
    <col min="2" max="2" width="17.5703125" customWidth="1"/>
    <col min="3" max="3" width="11.5703125" customWidth="1"/>
    <col min="4" max="5" width="12.5703125" customWidth="1"/>
    <col min="13" max="13" width="49.42578125" customWidth="1"/>
  </cols>
  <sheetData>
    <row r="1" spans="1:20" ht="18.600000000000001">
      <c r="A1" s="186" t="s">
        <v>222</v>
      </c>
      <c r="B1" s="186"/>
      <c r="C1" s="186"/>
      <c r="D1" s="186"/>
      <c r="E1" s="186"/>
      <c r="F1" s="186"/>
      <c r="G1" s="186"/>
      <c r="H1" s="186"/>
      <c r="I1" s="186"/>
      <c r="J1" s="186"/>
      <c r="K1" s="186"/>
      <c r="L1" s="186"/>
      <c r="M1" s="186"/>
    </row>
    <row r="2" spans="1:20" ht="15.6">
      <c r="A2" s="197" t="s">
        <v>193</v>
      </c>
      <c r="B2" s="197"/>
      <c r="C2" s="197"/>
      <c r="D2" s="197"/>
      <c r="E2" s="197"/>
      <c r="F2" s="197"/>
      <c r="G2" s="197"/>
      <c r="H2" s="197"/>
      <c r="I2" s="197"/>
      <c r="J2" s="197"/>
      <c r="K2" s="197"/>
      <c r="L2" s="197"/>
      <c r="M2" s="197"/>
    </row>
    <row r="3" spans="1:20">
      <c r="A3" s="175" t="s">
        <v>72</v>
      </c>
      <c r="B3" s="175"/>
      <c r="C3" s="175"/>
      <c r="D3" s="175"/>
      <c r="E3" s="175"/>
      <c r="F3" s="175"/>
      <c r="G3" s="175"/>
      <c r="H3" s="175"/>
      <c r="I3" s="175"/>
      <c r="J3" s="175"/>
      <c r="K3" s="175"/>
      <c r="L3" s="175"/>
      <c r="M3" s="175"/>
    </row>
    <row r="4" spans="1:20" ht="108" customHeight="1">
      <c r="A4" s="196" t="s">
        <v>210</v>
      </c>
      <c r="B4" s="196"/>
      <c r="C4" s="196"/>
      <c r="D4" s="196"/>
      <c r="E4" s="196"/>
      <c r="F4" s="196"/>
      <c r="G4" s="196"/>
      <c r="H4" s="196"/>
      <c r="I4" s="196"/>
      <c r="J4" s="196"/>
      <c r="K4" s="196"/>
      <c r="L4" s="196"/>
      <c r="M4" s="196"/>
    </row>
    <row r="5" spans="1:20">
      <c r="A5" s="187" t="s">
        <v>74</v>
      </c>
      <c r="B5" s="187"/>
      <c r="C5" s="187"/>
      <c r="D5" s="187"/>
      <c r="E5" s="187"/>
      <c r="F5" s="187"/>
      <c r="G5" s="187"/>
      <c r="H5" s="187"/>
      <c r="I5" s="187"/>
      <c r="J5" s="187"/>
      <c r="K5" s="187"/>
      <c r="L5" s="187"/>
      <c r="M5" s="187"/>
    </row>
    <row r="6" spans="1:20">
      <c r="A6" s="72" t="s">
        <v>75</v>
      </c>
      <c r="B6" s="198" t="s">
        <v>76</v>
      </c>
      <c r="C6" s="198"/>
      <c r="D6" s="184" t="s">
        <v>77</v>
      </c>
      <c r="E6" s="184"/>
      <c r="F6" s="185" t="s">
        <v>78</v>
      </c>
      <c r="G6" s="185"/>
      <c r="H6" s="185"/>
      <c r="I6" s="185"/>
      <c r="J6" s="185"/>
      <c r="K6" s="185"/>
      <c r="L6" s="185"/>
      <c r="M6" s="1" t="s">
        <v>128</v>
      </c>
    </row>
    <row r="7" spans="1:20" ht="29.1" customHeight="1">
      <c r="A7" s="3" t="s">
        <v>83</v>
      </c>
      <c r="B7" s="218" t="s">
        <v>223</v>
      </c>
      <c r="C7" s="220"/>
      <c r="D7" s="257" cm="1">
        <f t="array" ref="D7">_xlfn.XLOOKUP(A2&amp;'Parameters &amp; assumpties'!B25&amp;'Parameters &amp; assumpties'!B24&amp;'Parameters &amp; assumpties'!B23,InputSirio[Key],InputSirio[MASS_infiltratie (m3/m2 afwaterend opp/jaar)],_xludf.N/A,0,1)</f>
        <v>0.57113434168540467</v>
      </c>
      <c r="E7" s="258"/>
      <c r="F7" s="192" t="s">
        <v>145</v>
      </c>
      <c r="G7" s="216"/>
      <c r="H7" s="216"/>
      <c r="I7" s="216"/>
      <c r="J7" s="216"/>
      <c r="K7" s="216"/>
      <c r="L7" s="217"/>
      <c r="M7" s="111"/>
      <c r="N7" s="42"/>
    </row>
    <row r="8" spans="1:20">
      <c r="A8" s="175" t="s">
        <v>85</v>
      </c>
      <c r="B8" s="175"/>
      <c r="C8" s="175"/>
      <c r="D8" s="175"/>
      <c r="E8" s="175"/>
      <c r="F8" s="175"/>
      <c r="G8" s="175"/>
      <c r="H8" s="175"/>
      <c r="I8" s="175"/>
      <c r="J8" s="175"/>
      <c r="K8" s="175"/>
      <c r="L8" s="175"/>
      <c r="M8" s="175"/>
    </row>
    <row r="9" spans="1:20">
      <c r="A9" s="31" t="s">
        <v>75</v>
      </c>
      <c r="B9" s="31" t="s">
        <v>76</v>
      </c>
      <c r="C9" s="31" t="s">
        <v>38</v>
      </c>
      <c r="D9" s="31" t="s">
        <v>39</v>
      </c>
      <c r="E9" s="32" t="s">
        <v>40</v>
      </c>
      <c r="F9" s="185" t="s">
        <v>78</v>
      </c>
      <c r="G9" s="185"/>
      <c r="H9" s="185"/>
      <c r="I9" s="185"/>
      <c r="J9" s="185"/>
      <c r="K9" s="185"/>
      <c r="L9" s="185"/>
      <c r="M9" s="1" t="s">
        <v>79</v>
      </c>
    </row>
    <row r="10" spans="1:20">
      <c r="A10" s="3" t="s">
        <v>86</v>
      </c>
      <c r="B10" s="3" t="s">
        <v>87</v>
      </c>
      <c r="C10" s="3"/>
      <c r="D10" s="3"/>
      <c r="E10" s="3">
        <f>'Parameters &amp; assumpties'!B9</f>
        <v>50</v>
      </c>
      <c r="F10" s="177" t="s">
        <v>88</v>
      </c>
      <c r="G10" s="177"/>
      <c r="H10" s="177"/>
      <c r="I10" s="177"/>
      <c r="J10" s="177"/>
      <c r="K10" s="177"/>
      <c r="L10" s="177"/>
      <c r="M10" s="3"/>
      <c r="N10" s="256"/>
      <c r="O10" s="256"/>
      <c r="P10" s="256"/>
      <c r="Q10" s="256"/>
      <c r="R10" s="256"/>
      <c r="S10" s="256"/>
      <c r="T10" s="256"/>
    </row>
    <row r="11" spans="1:20" ht="409.5">
      <c r="A11" s="3" t="s">
        <v>130</v>
      </c>
      <c r="B11" s="3" t="s">
        <v>196</v>
      </c>
      <c r="C11" s="68">
        <v>0</v>
      </c>
      <c r="D11" s="68">
        <v>12.39</v>
      </c>
      <c r="E11" s="89">
        <v>5.14</v>
      </c>
      <c r="F11" s="190" t="s">
        <v>211</v>
      </c>
      <c r="G11" s="190"/>
      <c r="H11" s="190"/>
      <c r="I11" s="190"/>
      <c r="J11" s="190"/>
      <c r="K11" s="190"/>
      <c r="L11" s="190"/>
      <c r="M11" s="14" t="s">
        <v>224</v>
      </c>
      <c r="N11" s="100"/>
    </row>
    <row r="12" spans="1:20" ht="29.1">
      <c r="A12" s="3" t="s">
        <v>133</v>
      </c>
      <c r="B12" s="3" t="s">
        <v>225</v>
      </c>
      <c r="C12" s="51"/>
      <c r="D12" s="51"/>
      <c r="E12" s="51"/>
      <c r="F12" s="190" t="s">
        <v>226</v>
      </c>
      <c r="G12" s="190"/>
      <c r="H12" s="190"/>
      <c r="I12" s="190"/>
      <c r="J12" s="190"/>
      <c r="K12" s="190"/>
      <c r="L12" s="190"/>
      <c r="M12" s="14"/>
    </row>
    <row r="13" spans="1:20" ht="29.1">
      <c r="A13" s="3" t="s">
        <v>96</v>
      </c>
      <c r="B13" s="3" t="s">
        <v>225</v>
      </c>
      <c r="C13" s="51">
        <f>(-PMT('Parameters &amp; assumpties'!B8,E10,C11))+C12</f>
        <v>0</v>
      </c>
      <c r="D13" s="51">
        <f>(-PMT('Parameters &amp; assumpties'!B8,E10,D11))+D12</f>
        <v>0.39428956822880046</v>
      </c>
      <c r="E13" s="51">
        <f>(-PMT('Parameters &amp; assumpties'!B8,E10,E11))+E12</f>
        <v>0.16357129787700037</v>
      </c>
      <c r="F13" s="210"/>
      <c r="G13" s="210"/>
      <c r="H13" s="210"/>
      <c r="I13" s="210"/>
      <c r="J13" s="210"/>
      <c r="K13" s="210"/>
      <c r="L13" s="210"/>
      <c r="M13" s="14"/>
    </row>
    <row r="14" spans="1:20">
      <c r="A14" s="74" t="s">
        <v>97</v>
      </c>
      <c r="B14" s="74"/>
      <c r="C14" s="74"/>
      <c r="D14" s="74"/>
      <c r="E14" s="74"/>
      <c r="F14" s="204"/>
      <c r="G14" s="205"/>
      <c r="H14" s="205"/>
      <c r="I14" s="205"/>
      <c r="J14" s="205"/>
      <c r="K14" s="205"/>
      <c r="L14" s="206"/>
      <c r="M14" s="74"/>
    </row>
    <row r="15" spans="1:20">
      <c r="A15" s="31" t="s">
        <v>75</v>
      </c>
      <c r="B15" s="31" t="s">
        <v>76</v>
      </c>
      <c r="C15" s="31" t="s">
        <v>38</v>
      </c>
      <c r="D15" s="31" t="s">
        <v>39</v>
      </c>
      <c r="E15" s="1" t="s">
        <v>40</v>
      </c>
      <c r="F15" s="178" t="s">
        <v>98</v>
      </c>
      <c r="G15" s="178"/>
      <c r="H15" s="178"/>
      <c r="I15" s="178"/>
      <c r="J15" s="178"/>
      <c r="K15" s="178"/>
      <c r="L15" s="178"/>
      <c r="M15" s="1"/>
    </row>
    <row r="16" spans="1:20" ht="29.1">
      <c r="A16" s="3" t="s">
        <v>99</v>
      </c>
      <c r="B16" s="3" t="s">
        <v>100</v>
      </c>
      <c r="C16" s="51">
        <f>C13/$D7</f>
        <v>0</v>
      </c>
      <c r="D16" s="51">
        <f>D13/$D7</f>
        <v>0.69036221331965564</v>
      </c>
      <c r="E16" s="51">
        <f>E13/$D7</f>
        <v>0.28639723780976839</v>
      </c>
      <c r="F16" s="177"/>
      <c r="G16" s="177"/>
      <c r="H16" s="177"/>
      <c r="I16" s="177"/>
      <c r="J16" s="177"/>
      <c r="K16" s="177"/>
      <c r="L16" s="177"/>
      <c r="M16" s="15"/>
    </row>
    <row r="17" spans="1:13">
      <c r="A17" s="175" t="s">
        <v>105</v>
      </c>
      <c r="B17" s="175"/>
      <c r="C17" s="175"/>
      <c r="D17" s="175"/>
      <c r="E17" s="175"/>
      <c r="F17" s="175"/>
      <c r="G17" s="175"/>
      <c r="H17" s="175"/>
      <c r="I17" s="175"/>
      <c r="J17" s="175"/>
      <c r="K17" s="175"/>
      <c r="L17" s="175"/>
      <c r="M17" s="175"/>
    </row>
    <row r="18" spans="1:13" ht="83.45" customHeight="1">
      <c r="A18" s="196" t="s">
        <v>215</v>
      </c>
      <c r="B18" s="196"/>
      <c r="C18" s="196"/>
      <c r="D18" s="196"/>
      <c r="E18" s="196"/>
      <c r="F18" s="196"/>
      <c r="G18" s="196"/>
      <c r="H18" s="196"/>
      <c r="I18" s="196"/>
      <c r="J18" s="196"/>
      <c r="K18" s="196"/>
      <c r="L18" s="196"/>
      <c r="M18" s="196"/>
    </row>
    <row r="19" spans="1:13">
      <c r="A19" s="175" t="s">
        <v>107</v>
      </c>
      <c r="B19" s="175"/>
      <c r="C19" s="175"/>
      <c r="D19" s="175"/>
      <c r="E19" s="175"/>
      <c r="F19" s="175"/>
      <c r="G19" s="175"/>
      <c r="H19" s="175"/>
      <c r="I19" s="175"/>
      <c r="J19" s="175"/>
      <c r="K19" s="175"/>
      <c r="L19" s="175"/>
      <c r="M19" s="175"/>
    </row>
    <row r="20" spans="1:13">
      <c r="A20" s="75" t="s">
        <v>108</v>
      </c>
      <c r="B20" s="76" t="s">
        <v>109</v>
      </c>
      <c r="C20" s="183" t="s">
        <v>110</v>
      </c>
      <c r="D20" s="183"/>
      <c r="E20" s="183"/>
      <c r="F20" s="183"/>
      <c r="G20" s="183"/>
      <c r="H20" s="183"/>
      <c r="I20" s="183"/>
      <c r="J20" s="183"/>
      <c r="K20" s="183"/>
      <c r="L20" s="183"/>
      <c r="M20" s="47" t="s">
        <v>78</v>
      </c>
    </row>
    <row r="21" spans="1:13" ht="29.1">
      <c r="A21" s="3" t="s">
        <v>120</v>
      </c>
      <c r="B21" s="5" t="s">
        <v>112</v>
      </c>
      <c r="C21" s="177" t="s">
        <v>216</v>
      </c>
      <c r="D21" s="177"/>
      <c r="E21" s="177"/>
      <c r="F21" s="177"/>
      <c r="G21" s="177"/>
      <c r="H21" s="177"/>
      <c r="I21" s="177"/>
      <c r="J21" s="177"/>
      <c r="K21" s="177"/>
      <c r="L21" s="177"/>
      <c r="M21" s="48" t="s">
        <v>217</v>
      </c>
    </row>
    <row r="22" spans="1:13" ht="29.1">
      <c r="A22" s="3" t="s">
        <v>207</v>
      </c>
      <c r="B22" s="5" t="s">
        <v>112</v>
      </c>
      <c r="C22" s="177" t="s">
        <v>208</v>
      </c>
      <c r="D22" s="177"/>
      <c r="E22" s="177"/>
      <c r="F22" s="177"/>
      <c r="G22" s="177"/>
      <c r="H22" s="177"/>
      <c r="I22" s="177"/>
      <c r="J22" s="177"/>
      <c r="K22" s="177"/>
      <c r="L22" s="177"/>
      <c r="M22" s="48" t="s">
        <v>205</v>
      </c>
    </row>
    <row r="23" spans="1:13" ht="29.1">
      <c r="A23" s="3" t="s">
        <v>124</v>
      </c>
      <c r="B23" s="5" t="s">
        <v>112</v>
      </c>
      <c r="C23" s="177" t="s">
        <v>125</v>
      </c>
      <c r="D23" s="177"/>
      <c r="E23" s="177"/>
      <c r="F23" s="177"/>
      <c r="G23" s="177"/>
      <c r="H23" s="177"/>
      <c r="I23" s="177"/>
      <c r="J23" s="177"/>
      <c r="K23" s="177"/>
      <c r="L23" s="177"/>
      <c r="M23" s="48" t="s">
        <v>217</v>
      </c>
    </row>
    <row r="24" spans="1:13">
      <c r="A24" s="3" t="s">
        <v>218</v>
      </c>
      <c r="B24" s="5" t="s">
        <v>219</v>
      </c>
      <c r="C24" s="177" t="s">
        <v>220</v>
      </c>
      <c r="D24" s="177"/>
      <c r="E24" s="177"/>
      <c r="F24" s="177"/>
      <c r="G24" s="177"/>
      <c r="H24" s="177"/>
      <c r="I24" s="177"/>
      <c r="J24" s="177"/>
      <c r="K24" s="177"/>
      <c r="L24" s="177"/>
      <c r="M24" s="48" t="s">
        <v>221</v>
      </c>
    </row>
  </sheetData>
  <mergeCells count="29">
    <mergeCell ref="C24:L24"/>
    <mergeCell ref="A19:M19"/>
    <mergeCell ref="C20:L20"/>
    <mergeCell ref="C21:L21"/>
    <mergeCell ref="C22:L22"/>
    <mergeCell ref="C23:L23"/>
    <mergeCell ref="N10:T10"/>
    <mergeCell ref="F11:L11"/>
    <mergeCell ref="F12:L12"/>
    <mergeCell ref="F13:L13"/>
    <mergeCell ref="F14:L14"/>
    <mergeCell ref="F7:L7"/>
    <mergeCell ref="B7:C7"/>
    <mergeCell ref="D7:E7"/>
    <mergeCell ref="A18:M18"/>
    <mergeCell ref="A8:M8"/>
    <mergeCell ref="F9:L9"/>
    <mergeCell ref="F10:L10"/>
    <mergeCell ref="F15:L15"/>
    <mergeCell ref="F16:L16"/>
    <mergeCell ref="A17:M17"/>
    <mergeCell ref="B6:C6"/>
    <mergeCell ref="D6:E6"/>
    <mergeCell ref="F6:L6"/>
    <mergeCell ref="A1:M1"/>
    <mergeCell ref="A2:M2"/>
    <mergeCell ref="A3:M3"/>
    <mergeCell ref="A4:M4"/>
    <mergeCell ref="A5:M5"/>
  </mergeCells>
  <hyperlinks>
    <hyperlink ref="M22" r:id="rId1" display="https://omgeving.vlaanderen.be/waarom-ontharden" xr:uid="{41E39E74-003F-47F3-A99E-FD3497A10608}"/>
    <hyperlink ref="M24" r:id="rId2" display="https://www.vmm.be/water/bouwen/regenwater/infiltratie" xr:uid="{964B5BD3-5F18-4661-B86C-9408A3CEF72D}"/>
    <hyperlink ref="M21" r:id="rId3" display="https://blauwgroenvlaanderen.be/scholen/maatregelen/waterdoorlatende-halfverharding/" xr:uid="{C94A633E-1D7B-4024-81B6-B3D42DDBF86E}"/>
    <hyperlink ref="M23" r:id="rId4" display="https://blauwgroenvlaanderen.be/scholen/maatregelen/waterdoorlatende-halfverharding/" xr:uid="{707D082D-1F9C-412F-93AF-9417099AB3D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40AE-5D94-4B74-A586-B19F3368FA12}">
  <sheetPr>
    <tabColor rgb="FFFEF5D2"/>
  </sheetPr>
  <dimension ref="A1:P22"/>
  <sheetViews>
    <sheetView topLeftCell="A4" zoomScaleNormal="100" workbookViewId="0">
      <selection activeCell="A27" sqref="A27"/>
    </sheetView>
  </sheetViews>
  <sheetFormatPr defaultColWidth="8.85546875" defaultRowHeight="14.45"/>
  <cols>
    <col min="1" max="1" width="24.140625" customWidth="1"/>
    <col min="2" max="2" width="17.5703125" customWidth="1"/>
    <col min="3" max="3" width="11.5703125" customWidth="1"/>
    <col min="4" max="5" width="12.5703125" customWidth="1"/>
    <col min="13" max="13" width="48.5703125" customWidth="1"/>
    <col min="14" max="14" width="33.85546875" customWidth="1"/>
    <col min="16" max="16" width="77.85546875" customWidth="1"/>
  </cols>
  <sheetData>
    <row r="1" spans="1:16" ht="18.600000000000001">
      <c r="A1" s="237" t="s">
        <v>227</v>
      </c>
      <c r="B1" s="238"/>
      <c r="C1" s="238"/>
      <c r="D1" s="238"/>
      <c r="E1" s="238"/>
      <c r="F1" s="238"/>
      <c r="G1" s="238"/>
      <c r="H1" s="238"/>
      <c r="I1" s="238"/>
      <c r="J1" s="238"/>
      <c r="K1" s="238"/>
      <c r="L1" s="238"/>
      <c r="M1" s="238"/>
    </row>
    <row r="2" spans="1:16" ht="15.6">
      <c r="A2" s="239" t="s">
        <v>126</v>
      </c>
      <c r="B2" s="240"/>
      <c r="C2" s="240"/>
      <c r="D2" s="240"/>
      <c r="E2" s="240"/>
      <c r="F2" s="240"/>
      <c r="G2" s="240"/>
      <c r="H2" s="240"/>
      <c r="I2" s="240"/>
      <c r="J2" s="240"/>
      <c r="K2" s="240"/>
      <c r="L2" s="240"/>
      <c r="M2" s="241"/>
    </row>
    <row r="3" spans="1:16">
      <c r="A3" s="242" t="s">
        <v>72</v>
      </c>
      <c r="B3" s="221"/>
      <c r="C3" s="221"/>
      <c r="D3" s="221"/>
      <c r="E3" s="221"/>
      <c r="F3" s="221"/>
      <c r="G3" s="221"/>
      <c r="H3" s="221"/>
      <c r="I3" s="221"/>
      <c r="J3" s="221"/>
      <c r="K3" s="221"/>
      <c r="L3" s="221"/>
      <c r="M3" s="221"/>
      <c r="N3" s="42"/>
    </row>
    <row r="4" spans="1:16" ht="88.5" customHeight="1">
      <c r="A4" s="259" t="s">
        <v>228</v>
      </c>
      <c r="B4" s="259"/>
      <c r="C4" s="259"/>
      <c r="D4" s="259"/>
      <c r="E4" s="259"/>
      <c r="F4" s="259"/>
      <c r="G4" s="259"/>
      <c r="H4" s="259"/>
      <c r="I4" s="259"/>
      <c r="J4" s="259"/>
      <c r="K4" s="259"/>
      <c r="L4" s="259"/>
      <c r="M4" s="260"/>
    </row>
    <row r="5" spans="1:16">
      <c r="A5" s="243" t="s">
        <v>74</v>
      </c>
      <c r="B5" s="244"/>
      <c r="C5" s="244"/>
      <c r="D5" s="244"/>
      <c r="E5" s="244"/>
      <c r="F5" s="244"/>
      <c r="G5" s="244"/>
      <c r="H5" s="244"/>
      <c r="I5" s="244"/>
      <c r="J5" s="244"/>
      <c r="K5" s="244"/>
      <c r="L5" s="244"/>
      <c r="M5" s="244"/>
    </row>
    <row r="6" spans="1:16">
      <c r="A6" s="27" t="s">
        <v>75</v>
      </c>
      <c r="B6" s="245" t="s">
        <v>76</v>
      </c>
      <c r="C6" s="246"/>
      <c r="D6" s="184" t="s">
        <v>77</v>
      </c>
      <c r="E6" s="184"/>
      <c r="F6" s="247" t="s">
        <v>78</v>
      </c>
      <c r="G6" s="248"/>
      <c r="H6" s="248"/>
      <c r="I6" s="248"/>
      <c r="J6" s="248"/>
      <c r="K6" s="248"/>
      <c r="L6" s="249"/>
      <c r="M6" s="1" t="s">
        <v>128</v>
      </c>
    </row>
    <row r="7" spans="1:16" ht="57.95" customHeight="1">
      <c r="A7" s="3" t="s">
        <v>83</v>
      </c>
      <c r="B7" s="177" t="s">
        <v>81</v>
      </c>
      <c r="C7" s="177"/>
      <c r="D7" s="195" cm="1">
        <f t="array" ref="D7">_xlfn.XLOOKUP(A2&amp;'Parameters &amp; assumpties'!B25&amp;'Parameters &amp; assumpties'!B24&amp;'Parameters &amp; assumpties'!B23,InputSirio[Key],InputSirio[MASS_infiltratie (m3/m2 afwaterend opp/jaar)],_xludf.N/A,0,1)</f>
        <v>0.58845581009631154</v>
      </c>
      <c r="E7" s="195"/>
      <c r="F7" s="192" t="s">
        <v>84</v>
      </c>
      <c r="G7" s="193"/>
      <c r="H7" s="193"/>
      <c r="I7" s="193"/>
      <c r="J7" s="193"/>
      <c r="K7" s="193"/>
      <c r="L7" s="194"/>
      <c r="M7" s="114"/>
      <c r="N7" s="128"/>
    </row>
    <row r="8" spans="1:16">
      <c r="A8" s="221" t="s">
        <v>85</v>
      </c>
      <c r="B8" s="221"/>
      <c r="C8" s="221"/>
      <c r="D8" s="221"/>
      <c r="E8" s="221"/>
      <c r="F8" s="221"/>
      <c r="G8" s="221"/>
      <c r="H8" s="221"/>
      <c r="I8" s="221"/>
      <c r="J8" s="221"/>
      <c r="K8" s="221"/>
      <c r="L8" s="221"/>
      <c r="M8" s="222"/>
      <c r="N8" s="42"/>
    </row>
    <row r="9" spans="1:16">
      <c r="A9" s="19" t="s">
        <v>75</v>
      </c>
      <c r="B9" s="20" t="s">
        <v>76</v>
      </c>
      <c r="C9" s="20" t="s">
        <v>38</v>
      </c>
      <c r="D9" s="20" t="s">
        <v>39</v>
      </c>
      <c r="E9" s="26" t="s">
        <v>40</v>
      </c>
      <c r="F9" s="261" t="s">
        <v>78</v>
      </c>
      <c r="G9" s="262"/>
      <c r="H9" s="262"/>
      <c r="I9" s="262"/>
      <c r="J9" s="262"/>
      <c r="K9" s="262"/>
      <c r="L9" s="262"/>
      <c r="M9" s="1" t="s">
        <v>79</v>
      </c>
    </row>
    <row r="10" spans="1:16">
      <c r="A10" s="2" t="s">
        <v>86</v>
      </c>
      <c r="B10" s="3" t="s">
        <v>87</v>
      </c>
      <c r="C10" s="11"/>
      <c r="D10" s="11"/>
      <c r="E10" s="52">
        <v>25</v>
      </c>
      <c r="F10" s="263" t="s">
        <v>229</v>
      </c>
      <c r="G10" s="219"/>
      <c r="H10" s="219"/>
      <c r="I10" s="219"/>
      <c r="J10" s="219"/>
      <c r="K10" s="219"/>
      <c r="L10" s="219"/>
      <c r="M10" s="3"/>
    </row>
    <row r="11" spans="1:16" ht="117.95" customHeight="1">
      <c r="A11" s="8" t="s">
        <v>130</v>
      </c>
      <c r="B11" s="3" t="s">
        <v>230</v>
      </c>
      <c r="C11" s="102">
        <f>2*(1.99+2.5*3.12)+2*50</f>
        <v>119.58</v>
      </c>
      <c r="D11" s="102">
        <f>6*(2.89+2.5*9.545)+2*50</f>
        <v>260.51499999999999</v>
      </c>
      <c r="E11" s="102">
        <f>4*(2.44+2.5*5.77)+2*50</f>
        <v>167.45999999999998</v>
      </c>
      <c r="F11" s="234" t="s">
        <v>231</v>
      </c>
      <c r="G11" s="264"/>
      <c r="H11" s="264"/>
      <c r="I11" s="264"/>
      <c r="J11" s="264"/>
      <c r="K11" s="264"/>
      <c r="L11" s="264"/>
      <c r="M11" s="43" t="s">
        <v>232</v>
      </c>
      <c r="N11" s="42"/>
      <c r="P11" s="37"/>
    </row>
    <row r="12" spans="1:16" ht="30.95" customHeight="1">
      <c r="A12" s="8" t="s">
        <v>133</v>
      </c>
      <c r="B12" s="3" t="s">
        <v>230</v>
      </c>
      <c r="C12" s="53"/>
      <c r="D12" s="53"/>
      <c r="E12" s="53"/>
      <c r="F12" s="190"/>
      <c r="G12" s="190"/>
      <c r="H12" s="190"/>
      <c r="I12" s="190"/>
      <c r="J12" s="190"/>
      <c r="K12" s="190"/>
      <c r="L12" s="190"/>
      <c r="M12" s="14" t="s">
        <v>233</v>
      </c>
    </row>
    <row r="13" spans="1:16" ht="29.1">
      <c r="A13" s="8" t="s">
        <v>96</v>
      </c>
      <c r="B13" s="16" t="s">
        <v>230</v>
      </c>
      <c r="C13" s="50">
        <f>(-PMT('Parameters &amp; assumpties'!$B$8,E10,C11))+C12</f>
        <v>6.1249400259520597</v>
      </c>
      <c r="D13" s="50">
        <f>(-PMT('Parameters &amp; assumpties'!$B$8,E10,D11))+D12</f>
        <v>13.343692514307584</v>
      </c>
      <c r="E13" s="50">
        <f>(-PMT('Parameters &amp; assumpties'!$B$8,E10,E11))+E12</f>
        <v>8.5773746173769183</v>
      </c>
      <c r="F13" s="265"/>
      <c r="G13" s="266"/>
      <c r="H13" s="266"/>
      <c r="I13" s="266"/>
      <c r="J13" s="266"/>
      <c r="K13" s="266"/>
      <c r="L13" s="267"/>
      <c r="M13" s="14"/>
    </row>
    <row r="14" spans="1:16">
      <c r="A14" s="10" t="s">
        <v>97</v>
      </c>
      <c r="B14" s="10"/>
      <c r="C14" s="10"/>
      <c r="D14" s="10"/>
      <c r="E14" s="10"/>
      <c r="F14" s="10"/>
      <c r="G14" s="10"/>
      <c r="H14" s="10"/>
      <c r="I14" s="10"/>
      <c r="J14" s="10"/>
      <c r="K14" s="10"/>
      <c r="L14" s="10"/>
      <c r="M14" s="24"/>
    </row>
    <row r="15" spans="1:16">
      <c r="A15" s="19" t="s">
        <v>75</v>
      </c>
      <c r="B15" s="20" t="s">
        <v>76</v>
      </c>
      <c r="C15" s="20" t="s">
        <v>38</v>
      </c>
      <c r="D15" s="20" t="s">
        <v>39</v>
      </c>
      <c r="E15" s="21" t="s">
        <v>40</v>
      </c>
      <c r="F15" s="268" t="s">
        <v>98</v>
      </c>
      <c r="G15" s="269"/>
      <c r="H15" s="269"/>
      <c r="I15" s="269"/>
      <c r="J15" s="269"/>
      <c r="K15" s="269"/>
      <c r="L15" s="270"/>
      <c r="M15" s="1"/>
    </row>
    <row r="16" spans="1:16" ht="29.1">
      <c r="A16" s="3" t="s">
        <v>99</v>
      </c>
      <c r="B16" s="3" t="s">
        <v>100</v>
      </c>
      <c r="C16" s="50">
        <f>(C13/100)/$D$7</f>
        <v>0.10408496136608118</v>
      </c>
      <c r="D16" s="50">
        <f t="shared" ref="D16:E16" si="0">(D13/100)/$D$7</f>
        <v>0.22675776643489415</v>
      </c>
      <c r="E16" s="50">
        <f t="shared" si="0"/>
        <v>0.14576072612781363</v>
      </c>
      <c r="F16" s="223" t="s">
        <v>234</v>
      </c>
      <c r="G16" s="224"/>
      <c r="H16" s="224"/>
      <c r="I16" s="224"/>
      <c r="J16" s="224"/>
      <c r="K16" s="224"/>
      <c r="L16" s="225"/>
      <c r="M16" s="15"/>
    </row>
    <row r="17" spans="1:13">
      <c r="A17" s="175" t="s">
        <v>105</v>
      </c>
      <c r="B17" s="175"/>
      <c r="C17" s="175"/>
      <c r="D17" s="175"/>
      <c r="E17" s="175"/>
      <c r="F17" s="175"/>
      <c r="G17" s="175"/>
      <c r="H17" s="175"/>
      <c r="I17" s="175"/>
      <c r="J17" s="175"/>
      <c r="K17" s="175"/>
      <c r="L17" s="175"/>
      <c r="M17" s="175"/>
    </row>
    <row r="18" spans="1:13" ht="50.45" customHeight="1">
      <c r="A18" s="259"/>
      <c r="B18" s="259"/>
      <c r="C18" s="259"/>
      <c r="D18" s="259"/>
      <c r="E18" s="259"/>
      <c r="F18" s="259"/>
      <c r="G18" s="259"/>
      <c r="H18" s="259"/>
      <c r="I18" s="259"/>
      <c r="J18" s="259"/>
      <c r="K18" s="259"/>
      <c r="L18" s="259"/>
      <c r="M18" s="260"/>
    </row>
    <row r="19" spans="1:13">
      <c r="A19" s="221" t="s">
        <v>107</v>
      </c>
      <c r="B19" s="221"/>
      <c r="C19" s="221"/>
      <c r="D19" s="221"/>
      <c r="E19" s="221"/>
      <c r="F19" s="221"/>
      <c r="G19" s="221"/>
      <c r="H19" s="221"/>
      <c r="I19" s="221"/>
      <c r="J19" s="221"/>
      <c r="K19" s="221"/>
      <c r="L19" s="221"/>
      <c r="M19" s="222"/>
    </row>
    <row r="20" spans="1:13">
      <c r="A20" s="17" t="s">
        <v>108</v>
      </c>
      <c r="B20" s="18" t="s">
        <v>109</v>
      </c>
      <c r="C20" s="226" t="s">
        <v>110</v>
      </c>
      <c r="D20" s="227"/>
      <c r="E20" s="227"/>
      <c r="F20" s="227"/>
      <c r="G20" s="227"/>
      <c r="H20" s="227"/>
      <c r="I20" s="227"/>
      <c r="J20" s="227"/>
      <c r="K20" s="227"/>
      <c r="L20" s="228"/>
      <c r="M20" s="47" t="s">
        <v>78</v>
      </c>
    </row>
    <row r="21" spans="1:13" ht="29.1">
      <c r="A21" s="3" t="s">
        <v>124</v>
      </c>
      <c r="B21" s="5" t="s">
        <v>112</v>
      </c>
      <c r="C21" s="218" t="s">
        <v>235</v>
      </c>
      <c r="D21" s="219"/>
      <c r="E21" s="219"/>
      <c r="F21" s="219"/>
      <c r="G21" s="219"/>
      <c r="H21" s="219"/>
      <c r="I21" s="219"/>
      <c r="J21" s="219"/>
      <c r="K21" s="219"/>
      <c r="L21" s="220"/>
      <c r="M21" s="103" t="s">
        <v>236</v>
      </c>
    </row>
    <row r="22" spans="1:13" ht="29.1">
      <c r="A22" s="3" t="s">
        <v>120</v>
      </c>
      <c r="B22" s="5" t="s">
        <v>112</v>
      </c>
      <c r="C22" s="218" t="s">
        <v>237</v>
      </c>
      <c r="D22" s="219"/>
      <c r="E22" s="219"/>
      <c r="F22" s="219"/>
      <c r="G22" s="219"/>
      <c r="H22" s="219"/>
      <c r="I22" s="219"/>
      <c r="J22" s="219"/>
      <c r="K22" s="219"/>
      <c r="L22" s="220"/>
      <c r="M22" s="103" t="s">
        <v>236</v>
      </c>
    </row>
  </sheetData>
  <mergeCells count="25">
    <mergeCell ref="B6:C6"/>
    <mergeCell ref="D6:E6"/>
    <mergeCell ref="F6:L6"/>
    <mergeCell ref="A1:M1"/>
    <mergeCell ref="A2:M2"/>
    <mergeCell ref="A3:M3"/>
    <mergeCell ref="A4:M4"/>
    <mergeCell ref="A5:M5"/>
    <mergeCell ref="A17:M17"/>
    <mergeCell ref="B7:C7"/>
    <mergeCell ref="D7:E7"/>
    <mergeCell ref="F7:L7"/>
    <mergeCell ref="A8:M8"/>
    <mergeCell ref="F9:L9"/>
    <mergeCell ref="F10:L10"/>
    <mergeCell ref="F11:L11"/>
    <mergeCell ref="F12:L12"/>
    <mergeCell ref="F13:L13"/>
    <mergeCell ref="F15:L15"/>
    <mergeCell ref="F16:L16"/>
    <mergeCell ref="A18:M18"/>
    <mergeCell ref="A19:M19"/>
    <mergeCell ref="C20:L20"/>
    <mergeCell ref="C21:L21"/>
    <mergeCell ref="C22:L22"/>
  </mergeCells>
  <hyperlinks>
    <hyperlink ref="F10" r:id="rId1" xr:uid="{5F9C85B0-9965-45F6-B278-96E45B803ABF}"/>
    <hyperlink ref="M21" r:id="rId2" xr:uid="{FF0ABA58-0FBA-4ACB-95AE-BB22F28807E0}"/>
    <hyperlink ref="M22" r:id="rId3" xr:uid="{53E87DE9-AA45-4313-949B-53209E1C8659}"/>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BC74-CD18-4BD0-A0A4-9518CFBDF3FD}">
  <sheetPr codeName="Sheet12">
    <tabColor rgb="FFFEF5D2"/>
  </sheetPr>
  <dimension ref="A1:S35"/>
  <sheetViews>
    <sheetView topLeftCell="A10" zoomScaleNormal="100" workbookViewId="0">
      <selection activeCell="A22" sqref="A22:M22"/>
    </sheetView>
  </sheetViews>
  <sheetFormatPr defaultRowHeight="14.45"/>
  <cols>
    <col min="1" max="1" width="24.140625" customWidth="1"/>
    <col min="2" max="2" width="34.42578125" customWidth="1"/>
    <col min="3" max="3" width="11.5703125" customWidth="1"/>
    <col min="4" max="5" width="12.5703125" customWidth="1"/>
    <col min="13" max="13" width="60.42578125" customWidth="1"/>
  </cols>
  <sheetData>
    <row r="1" spans="1:19" ht="18.600000000000001">
      <c r="A1" s="237" t="s">
        <v>238</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67.5" customHeight="1">
      <c r="A4" s="172" t="s">
        <v>239</v>
      </c>
      <c r="B4" s="173"/>
      <c r="C4" s="173"/>
      <c r="D4" s="173"/>
      <c r="E4" s="173"/>
      <c r="F4" s="173"/>
      <c r="G4" s="173"/>
      <c r="H4" s="173"/>
      <c r="I4" s="173"/>
      <c r="J4" s="173"/>
      <c r="K4" s="173"/>
      <c r="L4" s="173"/>
      <c r="M4" s="174"/>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ht="28.5" customHeight="1">
      <c r="A7" s="3" t="s">
        <v>240</v>
      </c>
      <c r="B7" s="177" t="s">
        <v>241</v>
      </c>
      <c r="C7" s="177"/>
      <c r="D7" s="195">
        <v>25</v>
      </c>
      <c r="E7" s="195"/>
      <c r="F7" s="213" t="s">
        <v>242</v>
      </c>
      <c r="G7" s="213"/>
      <c r="H7" s="213"/>
      <c r="I7" s="213"/>
      <c r="J7" s="213"/>
      <c r="K7" s="213"/>
      <c r="L7" s="213"/>
      <c r="M7" s="43" t="s">
        <v>243</v>
      </c>
    </row>
    <row r="8" spans="1:19" ht="28.5" customHeight="1">
      <c r="A8" s="3" t="s">
        <v>80</v>
      </c>
      <c r="B8" s="177" t="s">
        <v>244</v>
      </c>
      <c r="C8" s="177"/>
      <c r="D8" s="195" cm="1">
        <f t="array" ref="D8">_xlfn.XLOOKUP('Parameters &amp; assumpties'!B25,Inputhemelwaterput[GSV],Inputhemelwaterput[Vereist volume hemelwaterput (m3)],_xludf.N/A,0,1)/100</f>
        <v>7.4999999999999997E-2</v>
      </c>
      <c r="E8" s="195"/>
      <c r="F8" s="191" t="s">
        <v>245</v>
      </c>
      <c r="G8" s="191"/>
      <c r="H8" s="191"/>
      <c r="I8" s="191"/>
      <c r="J8" s="191"/>
      <c r="K8" s="191"/>
      <c r="L8" s="191"/>
      <c r="M8" s="43"/>
      <c r="N8" s="42"/>
    </row>
    <row r="9" spans="1:19">
      <c r="A9" s="221" t="s">
        <v>85</v>
      </c>
      <c r="B9" s="221"/>
      <c r="C9" s="221"/>
      <c r="D9" s="221"/>
      <c r="E9" s="221"/>
      <c r="F9" s="221"/>
      <c r="G9" s="221"/>
      <c r="H9" s="221"/>
      <c r="I9" s="221"/>
      <c r="J9" s="221"/>
      <c r="K9" s="221"/>
      <c r="L9" s="221"/>
      <c r="M9" s="222"/>
    </row>
    <row r="10" spans="1:19">
      <c r="A10" s="31" t="s">
        <v>75</v>
      </c>
      <c r="B10" s="31" t="s">
        <v>76</v>
      </c>
      <c r="C10" s="31" t="s">
        <v>38</v>
      </c>
      <c r="D10" s="31" t="s">
        <v>39</v>
      </c>
      <c r="E10" s="32" t="s">
        <v>40</v>
      </c>
      <c r="F10" s="247" t="s">
        <v>78</v>
      </c>
      <c r="G10" s="248"/>
      <c r="H10" s="248"/>
      <c r="I10" s="248"/>
      <c r="J10" s="248"/>
      <c r="K10" s="248"/>
      <c r="L10" s="248"/>
      <c r="M10" s="1" t="s">
        <v>79</v>
      </c>
    </row>
    <row r="11" spans="1:19">
      <c r="A11" s="3" t="s">
        <v>86</v>
      </c>
      <c r="B11" s="3" t="s">
        <v>87</v>
      </c>
      <c r="C11" s="52"/>
      <c r="D11" s="52"/>
      <c r="E11" s="52">
        <v>20</v>
      </c>
      <c r="F11" s="192" t="s">
        <v>246</v>
      </c>
      <c r="G11" s="219"/>
      <c r="H11" s="219"/>
      <c r="I11" s="219"/>
      <c r="J11" s="219"/>
      <c r="K11" s="219"/>
      <c r="L11" s="219"/>
    </row>
    <row r="12" spans="1:19" ht="125.45" customHeight="1">
      <c r="A12" s="271" t="s">
        <v>130</v>
      </c>
      <c r="B12" s="3" t="s">
        <v>230</v>
      </c>
      <c r="C12" s="102">
        <v>1103.9844509232264</v>
      </c>
      <c r="D12" s="102">
        <v>5519.9222546161318</v>
      </c>
      <c r="E12" s="102">
        <v>3311.953352769679</v>
      </c>
      <c r="F12" s="192" t="s">
        <v>246</v>
      </c>
      <c r="G12" s="219"/>
      <c r="H12" s="219"/>
      <c r="I12" s="219"/>
      <c r="J12" s="219"/>
      <c r="K12" s="219"/>
      <c r="L12" s="219"/>
      <c r="M12" s="3" t="s">
        <v>247</v>
      </c>
    </row>
    <row r="13" spans="1:19" ht="40.5" customHeight="1">
      <c r="A13" s="272"/>
      <c r="B13" s="3" t="s">
        <v>248</v>
      </c>
      <c r="C13" s="102">
        <f>C12/100</f>
        <v>11.039844509232264</v>
      </c>
      <c r="D13" s="102">
        <f>D12/100</f>
        <v>55.199222546161316</v>
      </c>
      <c r="E13" s="102">
        <f>E12/100</f>
        <v>33.119533527696788</v>
      </c>
      <c r="F13" s="192" t="s">
        <v>246</v>
      </c>
      <c r="G13" s="219"/>
      <c r="H13" s="219"/>
      <c r="I13" s="219"/>
      <c r="J13" s="219"/>
      <c r="K13" s="219"/>
      <c r="L13" s="219"/>
      <c r="M13" s="3" t="s">
        <v>249</v>
      </c>
    </row>
    <row r="14" spans="1:19" ht="101.45" customHeight="1">
      <c r="A14" s="225" t="s">
        <v>133</v>
      </c>
      <c r="B14" s="3" t="s">
        <v>230</v>
      </c>
      <c r="C14" s="53">
        <v>1.9319310107844123</v>
      </c>
      <c r="D14" s="53">
        <v>57.131153556945726</v>
      </c>
      <c r="E14" s="84">
        <v>12.971775520016676</v>
      </c>
      <c r="F14" s="192" t="s">
        <v>246</v>
      </c>
      <c r="G14" s="219"/>
      <c r="H14" s="219"/>
      <c r="I14" s="219"/>
      <c r="J14" s="219"/>
      <c r="K14" s="219"/>
      <c r="L14" s="219"/>
      <c r="M14" s="3" t="s">
        <v>250</v>
      </c>
      <c r="N14" s="30"/>
      <c r="O14" s="30"/>
      <c r="P14" s="30"/>
      <c r="Q14" s="30"/>
      <c r="R14" s="30"/>
      <c r="S14" s="30"/>
    </row>
    <row r="15" spans="1:19" ht="36.950000000000003" customHeight="1">
      <c r="A15" s="273"/>
      <c r="B15" s="16" t="s">
        <v>248</v>
      </c>
      <c r="C15" s="50">
        <f>C14/100</f>
        <v>1.9319310107844122E-2</v>
      </c>
      <c r="D15" s="50">
        <f t="shared" ref="D15:E15" si="0">D14/100</f>
        <v>0.57131153556945724</v>
      </c>
      <c r="E15" s="50">
        <f t="shared" si="0"/>
        <v>0.12971775520016676</v>
      </c>
      <c r="F15" s="192" t="s">
        <v>246</v>
      </c>
      <c r="G15" s="219"/>
      <c r="H15" s="219"/>
      <c r="I15" s="219"/>
      <c r="J15" s="219"/>
      <c r="K15" s="219"/>
      <c r="L15" s="219"/>
      <c r="M15" s="3" t="s">
        <v>251</v>
      </c>
      <c r="N15" s="30"/>
      <c r="O15" s="30"/>
      <c r="P15" s="30"/>
      <c r="Q15" s="30"/>
      <c r="R15" s="30"/>
      <c r="S15" s="30"/>
    </row>
    <row r="16" spans="1:19" ht="29.1" customHeight="1">
      <c r="A16" s="225" t="s">
        <v>96</v>
      </c>
      <c r="B16" s="3" t="s">
        <v>230</v>
      </c>
      <c r="C16" s="50">
        <f>(-PMT('Parameters &amp; assumpties'!$B$8, $E11,C12))+C14</f>
        <v>69.447996890599654</v>
      </c>
      <c r="D16" s="50">
        <f>(-PMT('Parameters &amp; assumpties'!$B$8, $E11,D12))+D14</f>
        <v>394.71148295602194</v>
      </c>
      <c r="E16" s="50">
        <f>(-PMT('Parameters &amp; assumpties'!$B$8, $E11,E12))+E14</f>
        <v>215.51997315946241</v>
      </c>
      <c r="F16" s="192"/>
      <c r="G16" s="219"/>
      <c r="H16" s="219"/>
      <c r="I16" s="219"/>
      <c r="J16" s="219"/>
      <c r="K16" s="219"/>
      <c r="L16" s="219"/>
      <c r="M16" s="35"/>
    </row>
    <row r="17" spans="1:13" ht="31.5" customHeight="1">
      <c r="A17" s="273"/>
      <c r="B17" s="3" t="s">
        <v>248</v>
      </c>
      <c r="C17" s="51">
        <f>(-PMT('Parameters &amp; assumpties'!$B$8, $E11,C13))+C15</f>
        <v>0.69447996890599661</v>
      </c>
      <c r="D17" s="51">
        <f>(-PMT('Parameters &amp; assumpties'!$B$8, $E11,D13))+D15</f>
        <v>3.9471148295602192</v>
      </c>
      <c r="E17" s="51">
        <f>(-PMT('Parameters &amp; assumpties'!$B$8, $E11,E13))+E15</f>
        <v>2.1551997315946236</v>
      </c>
      <c r="F17" s="192"/>
      <c r="G17" s="219"/>
      <c r="H17" s="219"/>
      <c r="I17" s="219"/>
      <c r="J17" s="219"/>
      <c r="K17" s="219"/>
      <c r="L17" s="219"/>
      <c r="M17" s="14"/>
    </row>
    <row r="18" spans="1:13">
      <c r="A18" s="10" t="s">
        <v>252</v>
      </c>
      <c r="B18" s="10"/>
      <c r="C18" s="10"/>
      <c r="D18" s="10"/>
      <c r="E18" s="10"/>
      <c r="F18" s="10"/>
      <c r="G18" s="10"/>
      <c r="H18" s="10"/>
      <c r="I18" s="10"/>
      <c r="J18" s="10"/>
      <c r="K18" s="10"/>
      <c r="L18" s="10"/>
      <c r="M18" s="24"/>
    </row>
    <row r="19" spans="1:13">
      <c r="A19" s="19" t="s">
        <v>75</v>
      </c>
      <c r="B19" s="20" t="s">
        <v>76</v>
      </c>
      <c r="C19" s="20" t="s">
        <v>38</v>
      </c>
      <c r="D19" s="20" t="s">
        <v>39</v>
      </c>
      <c r="E19" s="21" t="s">
        <v>40</v>
      </c>
      <c r="F19" s="268" t="s">
        <v>98</v>
      </c>
      <c r="G19" s="269"/>
      <c r="H19" s="269"/>
      <c r="I19" s="269"/>
      <c r="J19" s="269"/>
      <c r="K19" s="269"/>
      <c r="L19" s="270"/>
      <c r="M19" s="1"/>
    </row>
    <row r="20" spans="1:13" ht="38.1" customHeight="1">
      <c r="A20" s="3" t="s">
        <v>253</v>
      </c>
      <c r="B20" s="3" t="s">
        <v>254</v>
      </c>
      <c r="C20" s="51">
        <f>C16/$D7</f>
        <v>2.777919875623986</v>
      </c>
      <c r="D20" s="51">
        <f>D16/$D7</f>
        <v>15.788459318240877</v>
      </c>
      <c r="E20" s="51">
        <f>E16/$D7</f>
        <v>8.6207989263784963</v>
      </c>
      <c r="F20" s="177" t="s">
        <v>255</v>
      </c>
      <c r="G20" s="177"/>
      <c r="H20" s="177"/>
      <c r="I20" s="177"/>
      <c r="J20" s="177"/>
      <c r="K20" s="177"/>
      <c r="L20" s="177"/>
      <c r="M20" s="15"/>
    </row>
    <row r="21" spans="1:13" ht="38.1" customHeight="1">
      <c r="A21" s="3" t="s">
        <v>102</v>
      </c>
      <c r="B21" s="3" t="s">
        <v>103</v>
      </c>
      <c r="C21" s="51">
        <f>C17/$D8</f>
        <v>9.2597329187466215</v>
      </c>
      <c r="D21" s="51">
        <f>D17/$D8</f>
        <v>52.62819772746959</v>
      </c>
      <c r="E21" s="51">
        <f t="shared" ref="E21" si="1">E17/$D8</f>
        <v>28.73599642126165</v>
      </c>
      <c r="F21" s="177" t="s">
        <v>256</v>
      </c>
      <c r="G21" s="177"/>
      <c r="H21" s="177"/>
      <c r="I21" s="177"/>
      <c r="J21" s="177"/>
      <c r="K21" s="177"/>
      <c r="L21" s="177"/>
      <c r="M21" s="15"/>
    </row>
    <row r="22" spans="1:13">
      <c r="A22" s="221" t="s">
        <v>105</v>
      </c>
      <c r="B22" s="221"/>
      <c r="C22" s="221"/>
      <c r="D22" s="221"/>
      <c r="E22" s="221"/>
      <c r="F22" s="221"/>
      <c r="G22" s="221"/>
      <c r="H22" s="221"/>
      <c r="I22" s="221"/>
      <c r="J22" s="221"/>
      <c r="K22" s="221"/>
      <c r="L22" s="221"/>
      <c r="M22" s="222"/>
    </row>
    <row r="23" spans="1:13" ht="84.95" customHeight="1">
      <c r="A23" s="172" t="s">
        <v>257</v>
      </c>
      <c r="B23" s="173"/>
      <c r="C23" s="173"/>
      <c r="D23" s="173"/>
      <c r="E23" s="173"/>
      <c r="F23" s="173"/>
      <c r="G23" s="173"/>
      <c r="H23" s="173"/>
      <c r="I23" s="173"/>
      <c r="J23" s="173"/>
      <c r="K23" s="173"/>
      <c r="L23" s="173"/>
      <c r="M23" s="174"/>
    </row>
    <row r="24" spans="1:13">
      <c r="A24" s="221" t="s">
        <v>107</v>
      </c>
      <c r="B24" s="221"/>
      <c r="C24" s="221"/>
      <c r="D24" s="221"/>
      <c r="E24" s="221"/>
      <c r="F24" s="221"/>
      <c r="G24" s="221"/>
      <c r="H24" s="221"/>
      <c r="I24" s="221"/>
      <c r="J24" s="221"/>
      <c r="K24" s="221"/>
      <c r="L24" s="221"/>
      <c r="M24" s="222"/>
    </row>
    <row r="25" spans="1:13">
      <c r="A25" s="17" t="s">
        <v>108</v>
      </c>
      <c r="B25" s="18" t="s">
        <v>109</v>
      </c>
      <c r="C25" s="226" t="s">
        <v>110</v>
      </c>
      <c r="D25" s="227"/>
      <c r="E25" s="227"/>
      <c r="F25" s="227"/>
      <c r="G25" s="227"/>
      <c r="H25" s="227"/>
      <c r="I25" s="227"/>
      <c r="J25" s="227"/>
      <c r="K25" s="227"/>
      <c r="L25" s="228"/>
      <c r="M25" s="47" t="s">
        <v>78</v>
      </c>
    </row>
    <row r="26" spans="1:13" ht="14.45" customHeight="1">
      <c r="A26" s="3" t="s">
        <v>184</v>
      </c>
      <c r="B26" s="5" t="s">
        <v>112</v>
      </c>
      <c r="C26" s="218" t="s">
        <v>185</v>
      </c>
      <c r="D26" s="219"/>
      <c r="E26" s="219"/>
      <c r="F26" s="219"/>
      <c r="G26" s="219"/>
      <c r="H26" s="219"/>
      <c r="I26" s="219"/>
      <c r="J26" s="219"/>
      <c r="K26" s="219"/>
      <c r="L26" s="220"/>
      <c r="M26" s="13" t="s">
        <v>258</v>
      </c>
    </row>
    <row r="27" spans="1:13" ht="67.5" customHeight="1">
      <c r="A27" s="3" t="s">
        <v>259</v>
      </c>
      <c r="B27" s="5" t="s">
        <v>112</v>
      </c>
      <c r="C27" s="177" t="s">
        <v>260</v>
      </c>
      <c r="D27" s="177"/>
      <c r="E27" s="177"/>
      <c r="F27" s="177"/>
      <c r="G27" s="177"/>
      <c r="H27" s="177"/>
      <c r="I27" s="177"/>
      <c r="J27" s="177"/>
      <c r="K27" s="177"/>
      <c r="L27" s="177"/>
      <c r="M27" s="13" t="s">
        <v>261</v>
      </c>
    </row>
    <row r="32" spans="1:13">
      <c r="A32" t="s">
        <v>262</v>
      </c>
    </row>
    <row r="33" spans="1:2">
      <c r="A33" t="s">
        <v>263</v>
      </c>
      <c r="B33" t="s">
        <v>264</v>
      </c>
    </row>
    <row r="34" spans="1:2">
      <c r="A34" t="s">
        <v>29</v>
      </c>
      <c r="B34">
        <v>7.5</v>
      </c>
    </row>
    <row r="35" spans="1:2">
      <c r="A35" t="s">
        <v>265</v>
      </c>
      <c r="B35">
        <v>5</v>
      </c>
    </row>
  </sheetData>
  <mergeCells count="35">
    <mergeCell ref="B6:C6"/>
    <mergeCell ref="D6:E6"/>
    <mergeCell ref="F6:L6"/>
    <mergeCell ref="B7:C7"/>
    <mergeCell ref="D7:E7"/>
    <mergeCell ref="A1:M1"/>
    <mergeCell ref="A2:M2"/>
    <mergeCell ref="A3:M3"/>
    <mergeCell ref="A4:M4"/>
    <mergeCell ref="A5:M5"/>
    <mergeCell ref="A12:A13"/>
    <mergeCell ref="F15:L15"/>
    <mergeCell ref="A14:A15"/>
    <mergeCell ref="A16:A17"/>
    <mergeCell ref="F21:L21"/>
    <mergeCell ref="F19:L19"/>
    <mergeCell ref="F17:L17"/>
    <mergeCell ref="F13:L13"/>
    <mergeCell ref="F14:L14"/>
    <mergeCell ref="C25:L25"/>
    <mergeCell ref="C26:L26"/>
    <mergeCell ref="C27:L27"/>
    <mergeCell ref="F20:L20"/>
    <mergeCell ref="F7:L7"/>
    <mergeCell ref="A9:M9"/>
    <mergeCell ref="F10:L10"/>
    <mergeCell ref="B8:C8"/>
    <mergeCell ref="D8:E8"/>
    <mergeCell ref="F8:L8"/>
    <mergeCell ref="F11:L11"/>
    <mergeCell ref="F12:L12"/>
    <mergeCell ref="F16:L16"/>
    <mergeCell ref="A22:M22"/>
    <mergeCell ref="A23:M23"/>
    <mergeCell ref="A24:M24"/>
  </mergeCells>
  <phoneticPr fontId="1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F11E8-93AB-4FE5-AFBC-5BB90742F37F}">
  <sheetPr codeName="Sheet11">
    <tabColor rgb="FFFEF5D2"/>
  </sheetPr>
  <dimension ref="A1:T25"/>
  <sheetViews>
    <sheetView zoomScaleNormal="100" workbookViewId="0">
      <selection activeCell="M12" sqref="M12"/>
    </sheetView>
  </sheetViews>
  <sheetFormatPr defaultRowHeight="14.45"/>
  <cols>
    <col min="1" max="1" width="24.140625" customWidth="1"/>
    <col min="2" max="2" width="17.5703125" customWidth="1"/>
    <col min="3" max="3" width="11.5703125" customWidth="1"/>
    <col min="4" max="5" width="12.5703125" customWidth="1"/>
    <col min="13" max="13" width="70.85546875" customWidth="1"/>
    <col min="18" max="18" width="114.42578125" customWidth="1"/>
  </cols>
  <sheetData>
    <row r="1" spans="1:19" ht="18.600000000000001">
      <c r="A1" s="237" t="s">
        <v>266</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45.6" customHeight="1">
      <c r="A4" s="172"/>
      <c r="B4" s="173"/>
      <c r="C4" s="173"/>
      <c r="D4" s="173"/>
      <c r="E4" s="173"/>
      <c r="F4" s="173"/>
      <c r="G4" s="173"/>
      <c r="H4" s="173"/>
      <c r="I4" s="173"/>
      <c r="J4" s="173"/>
      <c r="K4" s="173"/>
      <c r="L4" s="173"/>
      <c r="M4" s="174"/>
      <c r="O4" s="42"/>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c r="A7" s="3" t="s">
        <v>240</v>
      </c>
      <c r="B7" s="218" t="s">
        <v>241</v>
      </c>
      <c r="C7" s="219"/>
      <c r="D7" s="195">
        <v>3700</v>
      </c>
      <c r="E7" s="195"/>
      <c r="F7" s="274" t="s">
        <v>246</v>
      </c>
      <c r="G7" s="275"/>
      <c r="H7" s="275"/>
      <c r="I7" s="275"/>
      <c r="J7" s="275"/>
      <c r="K7" s="275"/>
      <c r="L7" s="276"/>
      <c r="M7" s="15" t="s">
        <v>267</v>
      </c>
    </row>
    <row r="8" spans="1:19">
      <c r="A8" s="221" t="s">
        <v>85</v>
      </c>
      <c r="B8" s="221"/>
      <c r="C8" s="221"/>
      <c r="D8" s="221"/>
      <c r="E8" s="221"/>
      <c r="F8" s="221"/>
      <c r="G8" s="221"/>
      <c r="H8" s="221"/>
      <c r="I8" s="221"/>
      <c r="J8" s="221"/>
      <c r="K8" s="221"/>
      <c r="L8" s="221"/>
      <c r="M8" s="222"/>
    </row>
    <row r="9" spans="1:19">
      <c r="A9" s="31" t="s">
        <v>75</v>
      </c>
      <c r="B9" s="31" t="s">
        <v>76</v>
      </c>
      <c r="C9" s="31" t="s">
        <v>38</v>
      </c>
      <c r="D9" s="31" t="s">
        <v>39</v>
      </c>
      <c r="E9" s="32" t="s">
        <v>40</v>
      </c>
      <c r="F9" s="247" t="s">
        <v>78</v>
      </c>
      <c r="G9" s="248"/>
      <c r="H9" s="248"/>
      <c r="I9" s="248"/>
      <c r="J9" s="248"/>
      <c r="K9" s="248"/>
      <c r="L9" s="248"/>
      <c r="M9" s="1" t="s">
        <v>79</v>
      </c>
    </row>
    <row r="10" spans="1:19">
      <c r="A10" s="3" t="s">
        <v>86</v>
      </c>
      <c r="B10" s="3" t="s">
        <v>87</v>
      </c>
      <c r="C10" s="52"/>
      <c r="D10" s="52"/>
      <c r="E10" s="52">
        <v>10</v>
      </c>
      <c r="F10" s="192" t="s">
        <v>268</v>
      </c>
      <c r="G10" s="219"/>
      <c r="H10" s="219"/>
      <c r="I10" s="219"/>
      <c r="J10" s="219"/>
      <c r="K10" s="219"/>
      <c r="L10" s="219"/>
      <c r="M10" s="3" t="s">
        <v>269</v>
      </c>
    </row>
    <row r="11" spans="1:19" ht="45" customHeight="1">
      <c r="A11" s="101" t="s">
        <v>130</v>
      </c>
      <c r="B11" s="3" t="s">
        <v>270</v>
      </c>
      <c r="C11" s="83"/>
      <c r="D11" s="83"/>
      <c r="E11" s="107">
        <v>125000</v>
      </c>
      <c r="F11" s="253" t="s">
        <v>268</v>
      </c>
      <c r="G11" s="254"/>
      <c r="H11" s="254"/>
      <c r="I11" s="254"/>
      <c r="J11" s="254"/>
      <c r="K11" s="254"/>
      <c r="L11" s="255"/>
      <c r="M11" s="14" t="s">
        <v>271</v>
      </c>
    </row>
    <row r="12" spans="1:19" ht="105" customHeight="1">
      <c r="A12" s="8" t="s">
        <v>133</v>
      </c>
      <c r="B12" s="3" t="s">
        <v>270</v>
      </c>
      <c r="C12" s="106">
        <f>'Hemelwaterputten (hh)'!C14/25*$D$7</f>
        <v>285.92578959609301</v>
      </c>
      <c r="D12" s="106">
        <f>'Hemelwaterputten (hh)'!D14/25*$D$7</f>
        <v>8455.4107264279664</v>
      </c>
      <c r="E12" s="106">
        <f>'Hemelwaterputten (hh)'!E14/25*$D$7</f>
        <v>1919.822776962468</v>
      </c>
      <c r="F12" s="277"/>
      <c r="G12" s="195"/>
      <c r="H12" s="195"/>
      <c r="I12" s="195"/>
      <c r="J12" s="195"/>
      <c r="K12" s="195"/>
      <c r="L12" s="195"/>
      <c r="M12" s="14" t="s">
        <v>272</v>
      </c>
      <c r="N12" s="30"/>
      <c r="O12" s="30"/>
      <c r="P12" s="30"/>
      <c r="Q12" s="30"/>
      <c r="R12" s="30"/>
      <c r="S12" s="30"/>
    </row>
    <row r="13" spans="1:19" ht="29.1" customHeight="1">
      <c r="A13" s="22" t="s">
        <v>96</v>
      </c>
      <c r="B13" s="16" t="s">
        <v>270</v>
      </c>
      <c r="C13" s="108">
        <f>(-PMT('Parameters &amp; assumpties'!$B$8, $E10,E11))+C12</f>
        <v>14201.74177276065</v>
      </c>
      <c r="D13" s="108">
        <f>(-PMT('Parameters &amp; assumpties'!$B$8, $E10,E11))+D12</f>
        <v>22371.226709592524</v>
      </c>
      <c r="E13" s="108">
        <f>(-PMT('Parameters &amp; assumpties'!$B$8, $E10,E11))+E12</f>
        <v>15835.638760127025</v>
      </c>
      <c r="F13" s="278"/>
      <c r="G13" s="279"/>
      <c r="H13" s="279"/>
      <c r="I13" s="279"/>
      <c r="J13" s="279"/>
      <c r="K13" s="279"/>
      <c r="L13" s="280"/>
      <c r="M13" s="14"/>
    </row>
    <row r="14" spans="1:19">
      <c r="A14" s="10" t="s">
        <v>252</v>
      </c>
      <c r="B14" s="10"/>
      <c r="C14" s="10"/>
      <c r="D14" s="10"/>
      <c r="E14" s="10"/>
      <c r="F14" s="10"/>
      <c r="G14" s="10"/>
      <c r="H14" s="10"/>
      <c r="I14" s="10"/>
      <c r="J14" s="10"/>
      <c r="K14" s="10"/>
      <c r="L14" s="10"/>
      <c r="M14" s="24"/>
    </row>
    <row r="15" spans="1:19">
      <c r="A15" s="19" t="s">
        <v>75</v>
      </c>
      <c r="B15" s="20" t="s">
        <v>76</v>
      </c>
      <c r="C15" s="20" t="s">
        <v>38</v>
      </c>
      <c r="D15" s="20" t="s">
        <v>39</v>
      </c>
      <c r="E15" s="21" t="s">
        <v>40</v>
      </c>
      <c r="F15" s="268" t="s">
        <v>98</v>
      </c>
      <c r="G15" s="269"/>
      <c r="H15" s="269"/>
      <c r="I15" s="269"/>
      <c r="J15" s="269"/>
      <c r="K15" s="269"/>
      <c r="L15" s="270"/>
      <c r="M15" s="1"/>
    </row>
    <row r="16" spans="1:19" ht="29.1">
      <c r="A16" s="8" t="s">
        <v>273</v>
      </c>
      <c r="B16" s="3" t="s">
        <v>274</v>
      </c>
      <c r="C16" s="50">
        <f>C13/$D$7</f>
        <v>3.8383085872326079</v>
      </c>
      <c r="D16" s="50">
        <f t="shared" ref="D16:E16" si="0">D13/$D$7</f>
        <v>6.0462774890790607</v>
      </c>
      <c r="E16" s="50">
        <f t="shared" si="0"/>
        <v>4.279902367601899</v>
      </c>
      <c r="F16" s="223"/>
      <c r="G16" s="224"/>
      <c r="H16" s="224"/>
      <c r="I16" s="224"/>
      <c r="J16" s="224"/>
      <c r="K16" s="224"/>
      <c r="L16" s="225"/>
      <c r="M16" s="15"/>
    </row>
    <row r="17" spans="1:20" ht="29.1">
      <c r="A17" s="3" t="s">
        <v>102</v>
      </c>
      <c r="B17" s="3" t="s">
        <v>103</v>
      </c>
      <c r="C17" s="51">
        <f t="shared" ref="C17:D17" si="1">C13/400</f>
        <v>35.504354431901625</v>
      </c>
      <c r="D17" s="51">
        <f t="shared" si="1"/>
        <v>55.928066773981307</v>
      </c>
      <c r="E17" s="51">
        <f>E13/400</f>
        <v>39.589096900317564</v>
      </c>
      <c r="F17" s="177" t="s">
        <v>275</v>
      </c>
      <c r="G17" s="177"/>
      <c r="H17" s="177"/>
      <c r="I17" s="177"/>
      <c r="J17" s="177"/>
      <c r="K17" s="177"/>
      <c r="L17" s="177"/>
      <c r="M17" s="44"/>
    </row>
    <row r="18" spans="1:20">
      <c r="A18" s="221" t="s">
        <v>105</v>
      </c>
      <c r="B18" s="221"/>
      <c r="C18" s="221"/>
      <c r="D18" s="221"/>
      <c r="E18" s="221"/>
      <c r="F18" s="221"/>
      <c r="G18" s="221"/>
      <c r="H18" s="221"/>
      <c r="I18" s="221"/>
      <c r="J18" s="221"/>
      <c r="K18" s="221"/>
      <c r="L18" s="221"/>
      <c r="M18" s="222"/>
    </row>
    <row r="19" spans="1:20" ht="37.700000000000003" customHeight="1">
      <c r="A19" s="172" t="s">
        <v>276</v>
      </c>
      <c r="B19" s="173"/>
      <c r="C19" s="173"/>
      <c r="D19" s="173"/>
      <c r="E19" s="173"/>
      <c r="F19" s="173"/>
      <c r="G19" s="173"/>
      <c r="H19" s="173"/>
      <c r="I19" s="173"/>
      <c r="J19" s="173"/>
      <c r="K19" s="173"/>
      <c r="L19" s="173"/>
      <c r="M19" s="174"/>
    </row>
    <row r="20" spans="1:20">
      <c r="A20" s="221" t="s">
        <v>107</v>
      </c>
      <c r="B20" s="221"/>
      <c r="C20" s="221"/>
      <c r="D20" s="221"/>
      <c r="E20" s="221"/>
      <c r="F20" s="221"/>
      <c r="G20" s="221"/>
      <c r="H20" s="221"/>
      <c r="I20" s="221"/>
      <c r="J20" s="221"/>
      <c r="K20" s="221"/>
      <c r="L20" s="221"/>
      <c r="M20" s="222"/>
    </row>
    <row r="21" spans="1:20" ht="23.45" customHeight="1">
      <c r="A21" s="17" t="s">
        <v>108</v>
      </c>
      <c r="B21" s="18" t="s">
        <v>109</v>
      </c>
      <c r="C21" s="226" t="s">
        <v>110</v>
      </c>
      <c r="D21" s="227"/>
      <c r="E21" s="227"/>
      <c r="F21" s="227"/>
      <c r="G21" s="227"/>
      <c r="H21" s="227"/>
      <c r="I21" s="227"/>
      <c r="J21" s="227"/>
      <c r="K21" s="227"/>
      <c r="L21" s="228"/>
      <c r="M21" s="47" t="s">
        <v>78</v>
      </c>
      <c r="O21" s="62"/>
      <c r="P21" s="62"/>
      <c r="Q21" s="62"/>
      <c r="R21" s="45"/>
      <c r="T21" s="63"/>
    </row>
    <row r="22" spans="1:20" ht="29.1" customHeight="1">
      <c r="A22" s="3" t="s">
        <v>184</v>
      </c>
      <c r="B22" s="5" t="s">
        <v>112</v>
      </c>
      <c r="C22" s="218" t="s">
        <v>185</v>
      </c>
      <c r="D22" s="219"/>
      <c r="E22" s="219"/>
      <c r="F22" s="219"/>
      <c r="G22" s="219"/>
      <c r="H22" s="219"/>
      <c r="I22" s="219"/>
      <c r="J22" s="219"/>
      <c r="K22" s="219"/>
      <c r="L22" s="220"/>
      <c r="M22" s="13" t="s">
        <v>258</v>
      </c>
      <c r="O22" s="64"/>
      <c r="P22" s="64"/>
      <c r="Q22" s="64"/>
      <c r="R22" s="37"/>
      <c r="S22" s="65"/>
      <c r="T22" s="66"/>
    </row>
    <row r="23" spans="1:20" ht="66.95" customHeight="1">
      <c r="A23" s="28" t="s">
        <v>277</v>
      </c>
      <c r="B23" s="7" t="s">
        <v>112</v>
      </c>
      <c r="C23" s="223" t="s">
        <v>278</v>
      </c>
      <c r="D23" s="224"/>
      <c r="E23" s="224"/>
      <c r="F23" s="224"/>
      <c r="G23" s="224"/>
      <c r="H23" s="224"/>
      <c r="I23" s="224"/>
      <c r="J23" s="224"/>
      <c r="K23" s="224"/>
      <c r="L23" s="225"/>
      <c r="M23" s="13" t="s">
        <v>261</v>
      </c>
    </row>
    <row r="24" spans="1:20">
      <c r="A24" s="242" t="s">
        <v>279</v>
      </c>
      <c r="B24" s="221"/>
      <c r="C24" s="221"/>
      <c r="D24" s="221"/>
      <c r="E24" s="221"/>
      <c r="F24" s="221"/>
      <c r="G24" s="221"/>
      <c r="H24" s="221"/>
      <c r="I24" s="221"/>
      <c r="J24" s="221"/>
      <c r="K24" s="221"/>
      <c r="L24" s="221"/>
      <c r="M24" s="222"/>
    </row>
    <row r="25" spans="1:20">
      <c r="A25" s="259"/>
      <c r="B25" s="259"/>
      <c r="C25" s="259"/>
      <c r="D25" s="259"/>
      <c r="E25" s="259"/>
      <c r="F25" s="259"/>
      <c r="G25" s="259"/>
      <c r="H25" s="259"/>
      <c r="I25" s="259"/>
      <c r="J25" s="259"/>
      <c r="K25" s="259"/>
      <c r="L25" s="259"/>
      <c r="M25" s="25"/>
    </row>
  </sheetData>
  <mergeCells count="28">
    <mergeCell ref="A8:M8"/>
    <mergeCell ref="F9:L9"/>
    <mergeCell ref="F10:L10"/>
    <mergeCell ref="F15:L15"/>
    <mergeCell ref="F12:L12"/>
    <mergeCell ref="F13:L13"/>
    <mergeCell ref="F11:L11"/>
    <mergeCell ref="B7:C7"/>
    <mergeCell ref="D7:E7"/>
    <mergeCell ref="F7:L7"/>
    <mergeCell ref="A1:M1"/>
    <mergeCell ref="A2:M2"/>
    <mergeCell ref="A3:M3"/>
    <mergeCell ref="A4:M4"/>
    <mergeCell ref="A5:M5"/>
    <mergeCell ref="B6:C6"/>
    <mergeCell ref="D6:E6"/>
    <mergeCell ref="F6:L6"/>
    <mergeCell ref="F16:L16"/>
    <mergeCell ref="A24:M24"/>
    <mergeCell ref="A25:L25"/>
    <mergeCell ref="A18:M18"/>
    <mergeCell ref="A19:M19"/>
    <mergeCell ref="A20:M20"/>
    <mergeCell ref="F17:L17"/>
    <mergeCell ref="C21:L21"/>
    <mergeCell ref="C22:L22"/>
    <mergeCell ref="C23:L2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F400-49ED-4D3B-A2B7-1D3DB368043B}">
  <sheetPr>
    <tabColor rgb="FFD0FBE3"/>
  </sheetPr>
  <dimension ref="A1:S56"/>
  <sheetViews>
    <sheetView zoomScaleNormal="100" workbookViewId="0">
      <selection activeCell="M25" sqref="M25"/>
    </sheetView>
  </sheetViews>
  <sheetFormatPr defaultRowHeight="14.45"/>
  <cols>
    <col min="1" max="1" width="24.140625" customWidth="1"/>
    <col min="2" max="2" width="17.5703125" customWidth="1"/>
    <col min="3" max="3" width="11.5703125" customWidth="1"/>
    <col min="4" max="5" width="12.5703125" customWidth="1"/>
    <col min="13" max="13" width="39.140625" customWidth="1"/>
    <col min="14" max="14" width="125.85546875" customWidth="1"/>
  </cols>
  <sheetData>
    <row r="1" spans="1:19" ht="18.600000000000001">
      <c r="A1" s="237" t="s">
        <v>280</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42" customHeight="1">
      <c r="A4" s="172" t="s">
        <v>281</v>
      </c>
      <c r="B4" s="173"/>
      <c r="C4" s="173"/>
      <c r="D4" s="173"/>
      <c r="E4" s="173"/>
      <c r="F4" s="173"/>
      <c r="G4" s="173"/>
      <c r="H4" s="173"/>
      <c r="I4" s="173"/>
      <c r="J4" s="173"/>
      <c r="K4" s="173"/>
      <c r="L4" s="173"/>
      <c r="M4" s="174"/>
      <c r="N4" s="117"/>
    </row>
    <row r="5" spans="1:19" ht="18.600000000000001">
      <c r="A5" s="237" t="s">
        <v>58</v>
      </c>
      <c r="B5" s="238"/>
      <c r="C5" s="238"/>
      <c r="D5" s="238"/>
      <c r="E5" s="238"/>
      <c r="F5" s="238"/>
      <c r="G5" s="238"/>
      <c r="H5" s="238"/>
      <c r="I5" s="238"/>
      <c r="J5" s="238"/>
      <c r="K5" s="238"/>
      <c r="L5" s="238"/>
      <c r="M5" s="238"/>
      <c r="N5" s="42"/>
    </row>
    <row r="6" spans="1:19" ht="15.6">
      <c r="A6" s="239"/>
      <c r="B6" s="240"/>
      <c r="C6" s="240"/>
      <c r="D6" s="240"/>
      <c r="E6" s="240"/>
      <c r="F6" s="240"/>
      <c r="G6" s="240"/>
      <c r="H6" s="240"/>
      <c r="I6" s="240"/>
      <c r="J6" s="240"/>
      <c r="K6" s="240"/>
      <c r="L6" s="240"/>
      <c r="M6" s="241"/>
    </row>
    <row r="7" spans="1:19">
      <c r="A7" s="242" t="s">
        <v>72</v>
      </c>
      <c r="B7" s="221"/>
      <c r="C7" s="221"/>
      <c r="D7" s="221"/>
      <c r="E7" s="221"/>
      <c r="F7" s="221"/>
      <c r="G7" s="221"/>
      <c r="H7" s="221"/>
      <c r="I7" s="221"/>
      <c r="J7" s="221"/>
      <c r="K7" s="221"/>
      <c r="L7" s="221"/>
      <c r="M7" s="221"/>
    </row>
    <row r="8" spans="1:19" ht="77.45" customHeight="1">
      <c r="A8" s="172" t="s">
        <v>282</v>
      </c>
      <c r="B8" s="173"/>
      <c r="C8" s="173"/>
      <c r="D8" s="173"/>
      <c r="E8" s="173"/>
      <c r="F8" s="173"/>
      <c r="G8" s="173"/>
      <c r="H8" s="173"/>
      <c r="I8" s="173"/>
      <c r="J8" s="173"/>
      <c r="K8" s="173"/>
      <c r="L8" s="173"/>
      <c r="M8" s="174"/>
    </row>
    <row r="9" spans="1:19">
      <c r="A9" s="243" t="s">
        <v>74</v>
      </c>
      <c r="B9" s="244"/>
      <c r="C9" s="244"/>
      <c r="D9" s="244"/>
      <c r="E9" s="244"/>
      <c r="F9" s="244"/>
      <c r="G9" s="244"/>
      <c r="H9" s="244"/>
      <c r="I9" s="244"/>
      <c r="J9" s="244"/>
      <c r="K9" s="244"/>
      <c r="L9" s="244"/>
      <c r="M9" s="244"/>
    </row>
    <row r="10" spans="1:19">
      <c r="A10" s="27" t="s">
        <v>75</v>
      </c>
      <c r="B10" s="245" t="s">
        <v>76</v>
      </c>
      <c r="C10" s="246"/>
      <c r="D10" s="184" t="s">
        <v>77</v>
      </c>
      <c r="E10" s="184"/>
      <c r="F10" s="247" t="s">
        <v>78</v>
      </c>
      <c r="G10" s="248"/>
      <c r="H10" s="248"/>
      <c r="I10" s="248"/>
      <c r="J10" s="248"/>
      <c r="K10" s="248"/>
      <c r="L10" s="249"/>
      <c r="M10" s="1" t="s">
        <v>128</v>
      </c>
    </row>
    <row r="11" spans="1:19">
      <c r="A11" s="3" t="s">
        <v>80</v>
      </c>
      <c r="B11" s="218" t="s">
        <v>283</v>
      </c>
      <c r="C11" s="219"/>
      <c r="D11" s="195">
        <f>125/10000</f>
        <v>1.2500000000000001E-2</v>
      </c>
      <c r="E11" s="195"/>
      <c r="F11" s="274" t="s">
        <v>284</v>
      </c>
      <c r="G11" s="275"/>
      <c r="H11" s="275"/>
      <c r="I11" s="275"/>
      <c r="J11" s="275"/>
      <c r="K11" s="275"/>
      <c r="L11" s="276"/>
      <c r="M11" s="15"/>
    </row>
    <row r="12" spans="1:19">
      <c r="A12" s="221" t="s">
        <v>85</v>
      </c>
      <c r="B12" s="221"/>
      <c r="C12" s="221"/>
      <c r="D12" s="221"/>
      <c r="E12" s="221"/>
      <c r="F12" s="221"/>
      <c r="G12" s="221"/>
      <c r="H12" s="221"/>
      <c r="I12" s="221"/>
      <c r="J12" s="221"/>
      <c r="K12" s="221"/>
      <c r="L12" s="221"/>
      <c r="M12" s="222"/>
    </row>
    <row r="13" spans="1:19">
      <c r="A13" s="31" t="s">
        <v>75</v>
      </c>
      <c r="B13" s="31" t="s">
        <v>76</v>
      </c>
      <c r="C13" s="31" t="s">
        <v>38</v>
      </c>
      <c r="D13" s="31" t="s">
        <v>39</v>
      </c>
      <c r="E13" s="32" t="s">
        <v>40</v>
      </c>
      <c r="F13" s="247" t="s">
        <v>78</v>
      </c>
      <c r="G13" s="248"/>
      <c r="H13" s="248"/>
      <c r="I13" s="248"/>
      <c r="J13" s="248"/>
      <c r="K13" s="248"/>
      <c r="L13" s="248"/>
      <c r="M13" s="1" t="s">
        <v>79</v>
      </c>
    </row>
    <row r="14" spans="1:19">
      <c r="A14" s="3" t="s">
        <v>86</v>
      </c>
      <c r="B14" s="3" t="s">
        <v>87</v>
      </c>
      <c r="C14" s="52"/>
      <c r="D14" s="52"/>
      <c r="E14" s="52">
        <f>'Parameters &amp; assumpties'!B10</f>
        <v>50</v>
      </c>
      <c r="F14" s="192" t="s">
        <v>285</v>
      </c>
      <c r="G14" s="219"/>
      <c r="H14" s="219"/>
      <c r="I14" s="219"/>
      <c r="J14" s="219"/>
      <c r="K14" s="219"/>
      <c r="L14" s="219"/>
      <c r="M14" s="3"/>
    </row>
    <row r="15" spans="1:19" ht="27.6" customHeight="1">
      <c r="A15" s="8" t="s">
        <v>130</v>
      </c>
      <c r="B15" s="3" t="s">
        <v>196</v>
      </c>
      <c r="C15" s="90">
        <v>3.5200000000000002E-2</v>
      </c>
      <c r="D15" s="90">
        <v>0.1056</v>
      </c>
      <c r="E15" s="90">
        <f>AVERAGE(C15:D15)</f>
        <v>7.0400000000000004E-2</v>
      </c>
      <c r="F15" s="253" t="s">
        <v>286</v>
      </c>
      <c r="G15" s="254"/>
      <c r="H15" s="254"/>
      <c r="I15" s="254"/>
      <c r="J15" s="254"/>
      <c r="K15" s="254"/>
      <c r="L15" s="255"/>
      <c r="M15" s="14"/>
      <c r="N15" s="42"/>
    </row>
    <row r="16" spans="1:19" ht="53.1" customHeight="1">
      <c r="A16" s="8" t="s">
        <v>133</v>
      </c>
      <c r="B16" s="3" t="s">
        <v>196</v>
      </c>
      <c r="C16" s="91">
        <v>1.125E-2</v>
      </c>
      <c r="D16" s="91">
        <v>3.3750000000000002E-2</v>
      </c>
      <c r="E16" s="90">
        <f>AVERAGE(C16:D16)</f>
        <v>2.2499999999999999E-2</v>
      </c>
      <c r="F16" s="253" t="s">
        <v>286</v>
      </c>
      <c r="G16" s="254"/>
      <c r="H16" s="254"/>
      <c r="I16" s="254"/>
      <c r="J16" s="254"/>
      <c r="K16" s="254"/>
      <c r="L16" s="255"/>
      <c r="M16" s="34"/>
      <c r="N16" s="30"/>
      <c r="O16" s="30"/>
      <c r="P16" s="30"/>
      <c r="Q16" s="30"/>
      <c r="R16" s="30"/>
      <c r="S16" s="30"/>
    </row>
    <row r="17" spans="1:14" ht="29.1" customHeight="1">
      <c r="A17" s="22" t="s">
        <v>96</v>
      </c>
      <c r="B17" s="16" t="s">
        <v>196</v>
      </c>
      <c r="C17" s="92">
        <f>(-PMT('Parameters &amp; assumpties'!$B$8, $E14,C15))+C16</f>
        <v>1.2370176981570119E-2</v>
      </c>
      <c r="D17" s="92">
        <f>(-PMT('Parameters &amp; assumpties'!$B$8, $E14,D15))+D16</f>
        <v>3.7110530944710361E-2</v>
      </c>
      <c r="E17" s="92">
        <f>(-PMT('Parameters &amp; assumpties'!$B$8, $E14,E15))+E16</f>
        <v>2.4740353963140237E-2</v>
      </c>
      <c r="F17" s="278"/>
      <c r="G17" s="279"/>
      <c r="H17" s="279"/>
      <c r="I17" s="279"/>
      <c r="J17" s="279"/>
      <c r="K17" s="279"/>
      <c r="L17" s="280"/>
      <c r="M17" s="14"/>
    </row>
    <row r="18" spans="1:14">
      <c r="A18" s="10" t="s">
        <v>97</v>
      </c>
      <c r="B18" s="10"/>
      <c r="C18" s="10"/>
      <c r="D18" s="10"/>
      <c r="E18" s="10"/>
      <c r="F18" s="10"/>
      <c r="G18" s="10"/>
      <c r="H18" s="10"/>
      <c r="I18" s="10"/>
      <c r="J18" s="10"/>
      <c r="K18" s="10"/>
      <c r="L18" s="10"/>
      <c r="M18" s="24"/>
    </row>
    <row r="19" spans="1:14" ht="14.45" customHeight="1">
      <c r="A19" s="19" t="s">
        <v>75</v>
      </c>
      <c r="B19" s="20" t="s">
        <v>76</v>
      </c>
      <c r="C19" s="20" t="s">
        <v>38</v>
      </c>
      <c r="D19" s="20" t="s">
        <v>39</v>
      </c>
      <c r="E19" s="21" t="s">
        <v>40</v>
      </c>
      <c r="F19" s="268" t="s">
        <v>98</v>
      </c>
      <c r="G19" s="269"/>
      <c r="H19" s="269"/>
      <c r="I19" s="269"/>
      <c r="J19" s="269"/>
      <c r="K19" s="269"/>
      <c r="L19" s="270"/>
      <c r="M19" s="1"/>
    </row>
    <row r="20" spans="1:14" ht="29.1">
      <c r="A20" s="8" t="s">
        <v>287</v>
      </c>
      <c r="B20" s="16" t="s">
        <v>288</v>
      </c>
      <c r="C20" s="69">
        <f>C17/$D11</f>
        <v>0.98961415852560941</v>
      </c>
      <c r="D20" s="69">
        <f>D17/$D11</f>
        <v>2.9688424755768286</v>
      </c>
      <c r="E20" s="69">
        <f>E17/$D11</f>
        <v>1.9792283170512188</v>
      </c>
      <c r="F20" s="281"/>
      <c r="G20" s="282"/>
      <c r="H20" s="282"/>
      <c r="I20" s="282"/>
      <c r="J20" s="282"/>
      <c r="K20" s="282"/>
      <c r="L20" s="283"/>
      <c r="M20" s="15"/>
    </row>
    <row r="21" spans="1:14">
      <c r="A21" s="221" t="s">
        <v>105</v>
      </c>
      <c r="B21" s="221"/>
      <c r="C21" s="221"/>
      <c r="D21" s="221"/>
      <c r="E21" s="221"/>
      <c r="F21" s="221"/>
      <c r="G21" s="221"/>
      <c r="H21" s="221"/>
      <c r="I21" s="221"/>
      <c r="J21" s="221"/>
      <c r="K21" s="221"/>
      <c r="L21" s="221"/>
      <c r="M21" s="222"/>
    </row>
    <row r="22" spans="1:14" ht="50.1" customHeight="1">
      <c r="A22" s="172"/>
      <c r="B22" s="173"/>
      <c r="C22" s="173"/>
      <c r="D22" s="173"/>
      <c r="E22" s="173"/>
      <c r="F22" s="173"/>
      <c r="G22" s="173"/>
      <c r="H22" s="173"/>
      <c r="I22" s="173"/>
      <c r="J22" s="173"/>
      <c r="K22" s="173"/>
      <c r="L22" s="173"/>
      <c r="M22" s="174"/>
    </row>
    <row r="23" spans="1:14">
      <c r="A23" s="221" t="s">
        <v>107</v>
      </c>
      <c r="B23" s="221"/>
      <c r="C23" s="221"/>
      <c r="D23" s="221"/>
      <c r="E23" s="221"/>
      <c r="F23" s="221"/>
      <c r="G23" s="221"/>
      <c r="H23" s="221"/>
      <c r="I23" s="221"/>
      <c r="J23" s="221"/>
      <c r="K23" s="221"/>
      <c r="L23" s="221"/>
      <c r="M23" s="222"/>
    </row>
    <row r="24" spans="1:14">
      <c r="A24" s="17" t="s">
        <v>108</v>
      </c>
      <c r="B24" s="18" t="s">
        <v>109</v>
      </c>
      <c r="C24" s="226" t="s">
        <v>110</v>
      </c>
      <c r="D24" s="227"/>
      <c r="E24" s="227"/>
      <c r="F24" s="227"/>
      <c r="G24" s="227"/>
      <c r="H24" s="227"/>
      <c r="I24" s="227"/>
      <c r="J24" s="227"/>
      <c r="K24" s="227"/>
      <c r="L24" s="228"/>
      <c r="M24" s="47" t="s">
        <v>78</v>
      </c>
    </row>
    <row r="25" spans="1:14" ht="29.1" customHeight="1">
      <c r="A25" s="3" t="s">
        <v>289</v>
      </c>
      <c r="B25" s="5" t="s">
        <v>112</v>
      </c>
      <c r="C25" s="218" t="s">
        <v>290</v>
      </c>
      <c r="D25" s="219"/>
      <c r="E25" s="219"/>
      <c r="F25" s="219"/>
      <c r="G25" s="219"/>
      <c r="H25" s="219"/>
      <c r="I25" s="219"/>
      <c r="J25" s="219"/>
      <c r="K25" s="219"/>
      <c r="L25" s="220"/>
      <c r="M25" s="13" t="s">
        <v>291</v>
      </c>
      <c r="N25" s="115"/>
    </row>
    <row r="26" spans="1:14" ht="29.1" customHeight="1">
      <c r="A26" s="3" t="s">
        <v>292</v>
      </c>
      <c r="B26" s="5" t="s">
        <v>112</v>
      </c>
      <c r="C26" s="218" t="s">
        <v>293</v>
      </c>
      <c r="D26" s="219"/>
      <c r="E26" s="219"/>
      <c r="F26" s="219"/>
      <c r="G26" s="219"/>
      <c r="H26" s="219"/>
      <c r="I26" s="219"/>
      <c r="J26" s="219"/>
      <c r="K26" s="219"/>
      <c r="L26" s="220"/>
      <c r="M26" s="13" t="s">
        <v>291</v>
      </c>
      <c r="N26" s="115"/>
    </row>
    <row r="27" spans="1:14" ht="29.1" customHeight="1">
      <c r="A27" s="3" t="s">
        <v>294</v>
      </c>
      <c r="B27" s="5" t="s">
        <v>112</v>
      </c>
      <c r="C27" s="218"/>
      <c r="D27" s="219"/>
      <c r="E27" s="219"/>
      <c r="F27" s="219"/>
      <c r="G27" s="219"/>
      <c r="H27" s="219"/>
      <c r="I27" s="219"/>
      <c r="J27" s="219"/>
      <c r="K27" s="219"/>
      <c r="L27" s="220"/>
      <c r="M27" s="13" t="s">
        <v>295</v>
      </c>
      <c r="N27" s="115"/>
    </row>
    <row r="28" spans="1:14" ht="17.100000000000001" customHeight="1">
      <c r="A28" s="3" t="s">
        <v>296</v>
      </c>
      <c r="B28" s="5" t="s">
        <v>112</v>
      </c>
      <c r="C28" s="218" t="s">
        <v>297</v>
      </c>
      <c r="D28" s="219"/>
      <c r="E28" s="219"/>
      <c r="F28" s="219"/>
      <c r="G28" s="219"/>
      <c r="H28" s="219"/>
      <c r="I28" s="219"/>
      <c r="J28" s="219"/>
      <c r="K28" s="219"/>
      <c r="L28" s="220"/>
      <c r="M28" s="13" t="s">
        <v>295</v>
      </c>
      <c r="N28" s="115"/>
    </row>
    <row r="29" spans="1:14" ht="17.45" customHeight="1">
      <c r="A29" s="3" t="s">
        <v>207</v>
      </c>
      <c r="B29" s="5" t="s">
        <v>112</v>
      </c>
      <c r="C29" s="192" t="s">
        <v>298</v>
      </c>
      <c r="D29" s="216"/>
      <c r="E29" s="216"/>
      <c r="F29" s="216"/>
      <c r="G29" s="216"/>
      <c r="H29" s="216"/>
      <c r="I29" s="216"/>
      <c r="J29" s="216"/>
      <c r="K29" s="216"/>
      <c r="L29" s="217"/>
      <c r="M29" s="13" t="s">
        <v>291</v>
      </c>
      <c r="N29" s="115"/>
    </row>
    <row r="32" spans="1:14" ht="18.600000000000001">
      <c r="A32" s="237" t="s">
        <v>57</v>
      </c>
      <c r="B32" s="238"/>
      <c r="C32" s="238"/>
      <c r="D32" s="238"/>
      <c r="E32" s="238"/>
      <c r="F32" s="238"/>
      <c r="G32" s="238"/>
      <c r="H32" s="238"/>
      <c r="I32" s="238"/>
      <c r="J32" s="238"/>
      <c r="K32" s="238"/>
      <c r="L32" s="238"/>
      <c r="M32" s="238"/>
    </row>
    <row r="33" spans="1:14" ht="15.6">
      <c r="A33" s="239"/>
      <c r="B33" s="240"/>
      <c r="C33" s="240"/>
      <c r="D33" s="240"/>
      <c r="E33" s="240"/>
      <c r="F33" s="240"/>
      <c r="G33" s="240"/>
      <c r="H33" s="240"/>
      <c r="I33" s="240"/>
      <c r="J33" s="240"/>
      <c r="K33" s="240"/>
      <c r="L33" s="240"/>
      <c r="M33" s="241"/>
    </row>
    <row r="34" spans="1:14">
      <c r="A34" s="242" t="s">
        <v>72</v>
      </c>
      <c r="B34" s="221"/>
      <c r="C34" s="221"/>
      <c r="D34" s="221"/>
      <c r="E34" s="221"/>
      <c r="F34" s="221"/>
      <c r="G34" s="221"/>
      <c r="H34" s="221"/>
      <c r="I34" s="221"/>
      <c r="J34" s="221"/>
      <c r="K34" s="221"/>
      <c r="L34" s="221"/>
      <c r="M34" s="221"/>
    </row>
    <row r="35" spans="1:14" ht="39.950000000000003" customHeight="1">
      <c r="A35" s="218" t="s">
        <v>299</v>
      </c>
      <c r="B35" s="219"/>
      <c r="C35" s="219"/>
      <c r="D35" s="219"/>
      <c r="E35" s="219"/>
      <c r="F35" s="219"/>
      <c r="G35" s="219"/>
      <c r="H35" s="219"/>
      <c r="I35" s="219"/>
      <c r="J35" s="219"/>
      <c r="K35" s="219"/>
      <c r="L35" s="219"/>
      <c r="M35" s="220"/>
    </row>
    <row r="36" spans="1:14">
      <c r="A36" s="243" t="s">
        <v>74</v>
      </c>
      <c r="B36" s="244"/>
      <c r="C36" s="244"/>
      <c r="D36" s="244"/>
      <c r="E36" s="244"/>
      <c r="F36" s="244"/>
      <c r="G36" s="244"/>
      <c r="H36" s="244"/>
      <c r="I36" s="244"/>
      <c r="J36" s="244"/>
      <c r="K36" s="244"/>
      <c r="L36" s="244"/>
      <c r="M36" s="244"/>
    </row>
    <row r="37" spans="1:14">
      <c r="A37" s="27" t="s">
        <v>75</v>
      </c>
      <c r="B37" s="245" t="s">
        <v>76</v>
      </c>
      <c r="C37" s="246"/>
      <c r="D37" s="184" t="s">
        <v>77</v>
      </c>
      <c r="E37" s="184"/>
      <c r="F37" s="247" t="s">
        <v>78</v>
      </c>
      <c r="G37" s="248"/>
      <c r="H37" s="248"/>
      <c r="I37" s="248"/>
      <c r="J37" s="248"/>
      <c r="K37" s="248"/>
      <c r="L37" s="249"/>
      <c r="M37" s="1" t="s">
        <v>128</v>
      </c>
    </row>
    <row r="38" spans="1:14">
      <c r="A38" s="3" t="s">
        <v>300</v>
      </c>
      <c r="B38" s="218" t="s">
        <v>283</v>
      </c>
      <c r="C38" s="219"/>
      <c r="D38" s="195">
        <f>125/10000</f>
        <v>1.2500000000000001E-2</v>
      </c>
      <c r="E38" s="195"/>
      <c r="F38" s="274" t="s">
        <v>284</v>
      </c>
      <c r="G38" s="275"/>
      <c r="H38" s="275"/>
      <c r="I38" s="275"/>
      <c r="J38" s="275"/>
      <c r="K38" s="275"/>
      <c r="L38" s="276"/>
      <c r="M38" s="15"/>
    </row>
    <row r="39" spans="1:14">
      <c r="A39" s="221" t="s">
        <v>85</v>
      </c>
      <c r="B39" s="221"/>
      <c r="C39" s="221"/>
      <c r="D39" s="221"/>
      <c r="E39" s="221"/>
      <c r="F39" s="221"/>
      <c r="G39" s="221"/>
      <c r="H39" s="221"/>
      <c r="I39" s="221"/>
      <c r="J39" s="221"/>
      <c r="K39" s="221"/>
      <c r="L39" s="221"/>
      <c r="M39" s="222"/>
    </row>
    <row r="40" spans="1:14">
      <c r="A40" s="31" t="s">
        <v>75</v>
      </c>
      <c r="B40" s="31" t="s">
        <v>76</v>
      </c>
      <c r="C40" s="31" t="s">
        <v>38</v>
      </c>
      <c r="D40" s="31" t="s">
        <v>39</v>
      </c>
      <c r="E40" s="32" t="s">
        <v>40</v>
      </c>
      <c r="F40" s="247" t="s">
        <v>78</v>
      </c>
      <c r="G40" s="248"/>
      <c r="H40" s="248"/>
      <c r="I40" s="248"/>
      <c r="J40" s="248"/>
      <c r="K40" s="248"/>
      <c r="L40" s="248"/>
      <c r="M40" s="1" t="s">
        <v>79</v>
      </c>
    </row>
    <row r="41" spans="1:14">
      <c r="A41" s="3" t="s">
        <v>86</v>
      </c>
      <c r="B41" s="3" t="s">
        <v>87</v>
      </c>
      <c r="C41" s="52"/>
      <c r="D41" s="52"/>
      <c r="E41" s="52">
        <v>50</v>
      </c>
      <c r="F41" s="192" t="s">
        <v>285</v>
      </c>
      <c r="G41" s="219"/>
      <c r="H41" s="219"/>
      <c r="I41" s="219"/>
      <c r="J41" s="219"/>
      <c r="K41" s="219"/>
      <c r="L41" s="219"/>
      <c r="M41" s="3"/>
    </row>
    <row r="42" spans="1:14" ht="159.6">
      <c r="A42" s="8" t="s">
        <v>130</v>
      </c>
      <c r="B42" s="3" t="s">
        <v>196</v>
      </c>
      <c r="C42" s="93">
        <f>40/10000</f>
        <v>4.0000000000000001E-3</v>
      </c>
      <c r="D42" s="93">
        <f>150/10000</f>
        <v>1.4999999999999999E-2</v>
      </c>
      <c r="E42" s="90">
        <f>AVERAGE(C42:D42)</f>
        <v>9.4999999999999998E-3</v>
      </c>
      <c r="F42" s="253" t="s">
        <v>301</v>
      </c>
      <c r="G42" s="254"/>
      <c r="H42" s="254"/>
      <c r="I42" s="254"/>
      <c r="J42" s="254"/>
      <c r="K42" s="254"/>
      <c r="L42" s="255"/>
      <c r="M42" s="14" t="s">
        <v>302</v>
      </c>
      <c r="N42" s="40"/>
    </row>
    <row r="43" spans="1:14" ht="43.5">
      <c r="A43" s="8" t="s">
        <v>133</v>
      </c>
      <c r="B43" s="3" t="s">
        <v>196</v>
      </c>
      <c r="C43" s="91">
        <f>3/10000</f>
        <v>2.9999999999999997E-4</v>
      </c>
      <c r="D43" s="91">
        <f>155/10000</f>
        <v>1.55E-2</v>
      </c>
      <c r="E43" s="90">
        <f>AVERAGE(C43:D43)</f>
        <v>7.9000000000000008E-3</v>
      </c>
      <c r="F43" s="253" t="s">
        <v>286</v>
      </c>
      <c r="G43" s="254"/>
      <c r="H43" s="254"/>
      <c r="I43" s="254"/>
      <c r="J43" s="254"/>
      <c r="K43" s="254"/>
      <c r="L43" s="255"/>
      <c r="M43" s="34" t="s">
        <v>303</v>
      </c>
    </row>
    <row r="44" spans="1:14" ht="29.1">
      <c r="A44" s="22" t="s">
        <v>96</v>
      </c>
      <c r="B44" s="16" t="s">
        <v>196</v>
      </c>
      <c r="C44" s="92">
        <f>(-PMT('Parameters &amp; assumpties'!$B$8, $E41,C42))+C43</f>
        <v>4.2729283881478625E-4</v>
      </c>
      <c r="D44" s="92">
        <f>(-PMT('Parameters &amp; assumpties'!$B$8, $E41,D42))+D43</f>
        <v>1.5977348145555448E-2</v>
      </c>
      <c r="E44" s="92">
        <f>(-PMT('Parameters &amp; assumpties'!$B$8, $E41,E42))+E43</f>
        <v>8.2023204921851181E-3</v>
      </c>
      <c r="F44" s="278"/>
      <c r="G44" s="279"/>
      <c r="H44" s="279"/>
      <c r="I44" s="279"/>
      <c r="J44" s="279"/>
      <c r="K44" s="279"/>
      <c r="L44" s="280"/>
      <c r="M44" s="14"/>
    </row>
    <row r="45" spans="1:14">
      <c r="A45" s="10" t="s">
        <v>97</v>
      </c>
      <c r="B45" s="10"/>
      <c r="C45" s="10"/>
      <c r="D45" s="10"/>
      <c r="E45" s="10"/>
      <c r="F45" s="10"/>
      <c r="G45" s="10"/>
      <c r="H45" s="10"/>
      <c r="I45" s="10"/>
      <c r="J45" s="10"/>
      <c r="K45" s="10"/>
      <c r="L45" s="10"/>
      <c r="M45" s="24"/>
    </row>
    <row r="46" spans="1:14">
      <c r="A46" s="19" t="s">
        <v>75</v>
      </c>
      <c r="B46" s="20" t="s">
        <v>76</v>
      </c>
      <c r="C46" s="20" t="s">
        <v>38</v>
      </c>
      <c r="D46" s="20" t="s">
        <v>39</v>
      </c>
      <c r="E46" s="21" t="s">
        <v>40</v>
      </c>
      <c r="F46" s="268" t="s">
        <v>98</v>
      </c>
      <c r="G46" s="269"/>
      <c r="H46" s="269"/>
      <c r="I46" s="269"/>
      <c r="J46" s="269"/>
      <c r="K46" s="269"/>
      <c r="L46" s="270"/>
      <c r="M46" s="1"/>
    </row>
    <row r="47" spans="1:14" ht="29.1">
      <c r="A47" s="3" t="s">
        <v>102</v>
      </c>
      <c r="B47" s="16" t="s">
        <v>288</v>
      </c>
      <c r="C47" s="69">
        <f>C44/$D$38</f>
        <v>3.4183427105182899E-2</v>
      </c>
      <c r="D47" s="69">
        <f t="shared" ref="D47:E47" si="0">D44/$D$38</f>
        <v>1.2781878516444358</v>
      </c>
      <c r="E47" s="69">
        <f t="shared" si="0"/>
        <v>0.65618563937480945</v>
      </c>
      <c r="F47" s="281"/>
      <c r="G47" s="282"/>
      <c r="H47" s="282"/>
      <c r="I47" s="282"/>
      <c r="J47" s="282"/>
      <c r="K47" s="282"/>
      <c r="L47" s="283"/>
      <c r="M47" s="15"/>
    </row>
    <row r="48" spans="1:14">
      <c r="A48" s="221" t="s">
        <v>105</v>
      </c>
      <c r="B48" s="221"/>
      <c r="C48" s="221"/>
      <c r="D48" s="221"/>
      <c r="E48" s="221"/>
      <c r="F48" s="221"/>
      <c r="G48" s="221"/>
      <c r="H48" s="221"/>
      <c r="I48" s="221"/>
      <c r="J48" s="221"/>
      <c r="K48" s="221"/>
      <c r="L48" s="221"/>
      <c r="M48" s="222"/>
    </row>
    <row r="49" spans="1:14">
      <c r="A49" s="172"/>
      <c r="B49" s="173"/>
      <c r="C49" s="173"/>
      <c r="D49" s="173"/>
      <c r="E49" s="173"/>
      <c r="F49" s="173"/>
      <c r="G49" s="173"/>
      <c r="H49" s="173"/>
      <c r="I49" s="173"/>
      <c r="J49" s="173"/>
      <c r="K49" s="173"/>
      <c r="L49" s="173"/>
      <c r="M49" s="174"/>
    </row>
    <row r="50" spans="1:14">
      <c r="A50" s="221" t="s">
        <v>107</v>
      </c>
      <c r="B50" s="221"/>
      <c r="C50" s="221"/>
      <c r="D50" s="221"/>
      <c r="E50" s="221"/>
      <c r="F50" s="221"/>
      <c r="G50" s="221"/>
      <c r="H50" s="221"/>
      <c r="I50" s="221"/>
      <c r="J50" s="221"/>
      <c r="K50" s="221"/>
      <c r="L50" s="221"/>
      <c r="M50" s="222"/>
    </row>
    <row r="51" spans="1:14">
      <c r="A51" s="17" t="s">
        <v>108</v>
      </c>
      <c r="B51" s="18" t="s">
        <v>109</v>
      </c>
      <c r="C51" s="226" t="s">
        <v>110</v>
      </c>
      <c r="D51" s="227"/>
      <c r="E51" s="227"/>
      <c r="F51" s="227"/>
      <c r="G51" s="227"/>
      <c r="H51" s="227"/>
      <c r="I51" s="227"/>
      <c r="J51" s="227"/>
      <c r="K51" s="227"/>
      <c r="L51" s="228"/>
      <c r="M51" s="47" t="s">
        <v>78</v>
      </c>
    </row>
    <row r="52" spans="1:14" ht="29.1" customHeight="1">
      <c r="A52" s="3" t="s">
        <v>289</v>
      </c>
      <c r="B52" s="5" t="s">
        <v>112</v>
      </c>
      <c r="C52" s="218" t="s">
        <v>304</v>
      </c>
      <c r="D52" s="219"/>
      <c r="E52" s="219"/>
      <c r="F52" s="219"/>
      <c r="G52" s="219"/>
      <c r="H52" s="219"/>
      <c r="I52" s="219"/>
      <c r="J52" s="219"/>
      <c r="K52" s="219"/>
      <c r="L52" s="220"/>
      <c r="M52" s="13" t="s">
        <v>291</v>
      </c>
    </row>
    <row r="53" spans="1:14" ht="29.1" customHeight="1">
      <c r="A53" s="3" t="s">
        <v>292</v>
      </c>
      <c r="B53" s="5" t="s">
        <v>112</v>
      </c>
      <c r="C53" s="218" t="s">
        <v>293</v>
      </c>
      <c r="D53" s="219"/>
      <c r="E53" s="219"/>
      <c r="F53" s="219"/>
      <c r="G53" s="219"/>
      <c r="H53" s="219"/>
      <c r="I53" s="219"/>
      <c r="J53" s="219"/>
      <c r="K53" s="219"/>
      <c r="L53" s="220"/>
      <c r="M53" s="13" t="s">
        <v>291</v>
      </c>
    </row>
    <row r="54" spans="1:14" ht="29.1" customHeight="1">
      <c r="A54" s="3" t="s">
        <v>294</v>
      </c>
      <c r="B54" s="5" t="s">
        <v>112</v>
      </c>
      <c r="C54" s="218"/>
      <c r="D54" s="219"/>
      <c r="E54" s="219"/>
      <c r="F54" s="219"/>
      <c r="G54" s="219"/>
      <c r="H54" s="219"/>
      <c r="I54" s="219"/>
      <c r="J54" s="219"/>
      <c r="K54" s="219"/>
      <c r="L54" s="220"/>
      <c r="M54" s="13" t="s">
        <v>295</v>
      </c>
      <c r="N54" s="115"/>
    </row>
    <row r="55" spans="1:14" ht="17.100000000000001" customHeight="1">
      <c r="A55" s="3" t="s">
        <v>296</v>
      </c>
      <c r="B55" s="5" t="s">
        <v>112</v>
      </c>
      <c r="C55" s="218" t="s">
        <v>305</v>
      </c>
      <c r="D55" s="219"/>
      <c r="E55" s="219"/>
      <c r="F55" s="219"/>
      <c r="G55" s="219"/>
      <c r="H55" s="219"/>
      <c r="I55" s="219"/>
      <c r="J55" s="219"/>
      <c r="K55" s="219"/>
      <c r="L55" s="220"/>
      <c r="M55" s="13" t="s">
        <v>295</v>
      </c>
      <c r="N55" s="115"/>
    </row>
    <row r="56" spans="1:14" ht="29.1" customHeight="1">
      <c r="A56" s="3" t="s">
        <v>207</v>
      </c>
      <c r="B56" s="5" t="s">
        <v>112</v>
      </c>
      <c r="C56" s="192" t="s">
        <v>298</v>
      </c>
      <c r="D56" s="216"/>
      <c r="E56" s="216"/>
      <c r="F56" s="216"/>
      <c r="G56" s="216"/>
      <c r="H56" s="216"/>
      <c r="I56" s="216"/>
      <c r="J56" s="216"/>
      <c r="K56" s="216"/>
      <c r="L56" s="217"/>
      <c r="M56" s="13" t="s">
        <v>291</v>
      </c>
    </row>
  </sheetData>
  <mergeCells count="60">
    <mergeCell ref="C56:L56"/>
    <mergeCell ref="A49:M49"/>
    <mergeCell ref="A50:M50"/>
    <mergeCell ref="C51:L51"/>
    <mergeCell ref="C52:L52"/>
    <mergeCell ref="C53:L53"/>
    <mergeCell ref="C54:L54"/>
    <mergeCell ref="C55:L55"/>
    <mergeCell ref="A48:M48"/>
    <mergeCell ref="B38:C38"/>
    <mergeCell ref="D38:E38"/>
    <mergeCell ref="F38:L38"/>
    <mergeCell ref="A39:M39"/>
    <mergeCell ref="F40:L40"/>
    <mergeCell ref="F41:L41"/>
    <mergeCell ref="F42:L42"/>
    <mergeCell ref="F43:L43"/>
    <mergeCell ref="F44:L44"/>
    <mergeCell ref="F46:L46"/>
    <mergeCell ref="F47:L47"/>
    <mergeCell ref="B37:C37"/>
    <mergeCell ref="D37:E37"/>
    <mergeCell ref="F37:L37"/>
    <mergeCell ref="A33:M33"/>
    <mergeCell ref="A34:M34"/>
    <mergeCell ref="A35:M35"/>
    <mergeCell ref="A32:M32"/>
    <mergeCell ref="C29:L29"/>
    <mergeCell ref="A36:M36"/>
    <mergeCell ref="C27:L27"/>
    <mergeCell ref="C28:L28"/>
    <mergeCell ref="C26:L26"/>
    <mergeCell ref="A12:M12"/>
    <mergeCell ref="F13:L13"/>
    <mergeCell ref="F15:L15"/>
    <mergeCell ref="F16:L16"/>
    <mergeCell ref="F17:L17"/>
    <mergeCell ref="F19:L19"/>
    <mergeCell ref="F20:L20"/>
    <mergeCell ref="A21:M21"/>
    <mergeCell ref="A22:M22"/>
    <mergeCell ref="A23:M23"/>
    <mergeCell ref="C24:L24"/>
    <mergeCell ref="C25:L25"/>
    <mergeCell ref="A1:M1"/>
    <mergeCell ref="A2:M2"/>
    <mergeCell ref="A3:M3"/>
    <mergeCell ref="A4:M4"/>
    <mergeCell ref="F14:L14"/>
    <mergeCell ref="A7:M7"/>
    <mergeCell ref="A8:M8"/>
    <mergeCell ref="A9:M9"/>
    <mergeCell ref="B10:C10"/>
    <mergeCell ref="D10:E10"/>
    <mergeCell ref="F10:L10"/>
    <mergeCell ref="A5:M5"/>
    <mergeCell ref="A6:M6"/>
    <mergeCell ref="B11:C11"/>
    <mergeCell ref="D11:E11"/>
    <mergeCell ref="F11:L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C4CA-4329-4DB7-9D25-E40D376D5783}">
  <sheetPr>
    <tabColor rgb="FFFF0000"/>
  </sheetPr>
  <dimension ref="A1:S23"/>
  <sheetViews>
    <sheetView zoomScaleNormal="100" workbookViewId="0">
      <selection activeCell="C28" sqref="C28"/>
    </sheetView>
  </sheetViews>
  <sheetFormatPr defaultColWidth="8.85546875" defaultRowHeight="14.45"/>
  <cols>
    <col min="1" max="1" width="24.140625" customWidth="1"/>
    <col min="2" max="2" width="17.5703125" customWidth="1"/>
    <col min="3" max="3" width="11.5703125" customWidth="1"/>
    <col min="4" max="5" width="12.5703125" customWidth="1"/>
    <col min="13" max="13" width="39.140625" customWidth="1"/>
    <col min="14" max="14" width="125.85546875" customWidth="1"/>
  </cols>
  <sheetData>
    <row r="1" spans="1:19" ht="18.600000000000001">
      <c r="A1" s="237" t="s">
        <v>306</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92.1" customHeight="1">
      <c r="A4" s="172" t="s">
        <v>307</v>
      </c>
      <c r="B4" s="173"/>
      <c r="C4" s="173"/>
      <c r="D4" s="173"/>
      <c r="E4" s="173"/>
      <c r="F4" s="173"/>
      <c r="G4" s="173"/>
      <c r="H4" s="173"/>
      <c r="I4" s="173"/>
      <c r="J4" s="173"/>
      <c r="K4" s="173"/>
      <c r="L4" s="173"/>
      <c r="M4" s="174"/>
      <c r="N4" s="117"/>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c r="A7" s="3"/>
      <c r="B7" s="218"/>
      <c r="C7" s="219"/>
      <c r="D7" s="195"/>
      <c r="E7" s="195"/>
      <c r="F7" s="274"/>
      <c r="G7" s="275"/>
      <c r="H7" s="275"/>
      <c r="I7" s="275"/>
      <c r="J7" s="275"/>
      <c r="K7" s="275"/>
      <c r="L7" s="276"/>
      <c r="M7" s="15"/>
    </row>
    <row r="8" spans="1:19">
      <c r="A8" s="221" t="s">
        <v>85</v>
      </c>
      <c r="B8" s="221"/>
      <c r="C8" s="221"/>
      <c r="D8" s="221"/>
      <c r="E8" s="221"/>
      <c r="F8" s="221"/>
      <c r="G8" s="221"/>
      <c r="H8" s="221"/>
      <c r="I8" s="221"/>
      <c r="J8" s="221"/>
      <c r="K8" s="221"/>
      <c r="L8" s="221"/>
      <c r="M8" s="222"/>
    </row>
    <row r="9" spans="1:19">
      <c r="A9" s="31" t="s">
        <v>75</v>
      </c>
      <c r="B9" s="31" t="s">
        <v>76</v>
      </c>
      <c r="C9" s="31" t="s">
        <v>38</v>
      </c>
      <c r="D9" s="31" t="s">
        <v>39</v>
      </c>
      <c r="E9" s="32" t="s">
        <v>40</v>
      </c>
      <c r="F9" s="247" t="s">
        <v>78</v>
      </c>
      <c r="G9" s="248"/>
      <c r="H9" s="248"/>
      <c r="I9" s="248"/>
      <c r="J9" s="248"/>
      <c r="K9" s="248"/>
      <c r="L9" s="248"/>
      <c r="M9" s="1" t="s">
        <v>79</v>
      </c>
    </row>
    <row r="10" spans="1:19">
      <c r="A10" s="3" t="s">
        <v>86</v>
      </c>
      <c r="B10" s="3" t="s">
        <v>87</v>
      </c>
      <c r="C10" s="11"/>
      <c r="D10" s="11"/>
      <c r="E10" s="52">
        <f>'Parameters &amp; assumpties'!B11</f>
        <v>20</v>
      </c>
      <c r="F10" s="192"/>
      <c r="G10" s="219"/>
      <c r="H10" s="219"/>
      <c r="I10" s="219"/>
      <c r="J10" s="219"/>
      <c r="K10" s="219"/>
      <c r="L10" s="219"/>
      <c r="M10" s="3"/>
    </row>
    <row r="11" spans="1:19" ht="27.6" customHeight="1">
      <c r="A11" s="8" t="s">
        <v>130</v>
      </c>
      <c r="B11" s="3" t="s">
        <v>308</v>
      </c>
      <c r="C11" s="102">
        <f>11850+15600</f>
        <v>27450</v>
      </c>
      <c r="D11" s="102">
        <v>65000</v>
      </c>
      <c r="E11" s="102">
        <f>AVERAGE(C11:D11)</f>
        <v>46225</v>
      </c>
      <c r="F11" s="253" t="s">
        <v>309</v>
      </c>
      <c r="G11" s="254"/>
      <c r="H11" s="254"/>
      <c r="I11" s="254"/>
      <c r="J11" s="254"/>
      <c r="K11" s="254"/>
      <c r="L11" s="255"/>
      <c r="M11" s="14" t="s">
        <v>310</v>
      </c>
    </row>
    <row r="12" spans="1:19" ht="53.1" customHeight="1">
      <c r="A12" s="8" t="s">
        <v>133</v>
      </c>
      <c r="B12" s="3" t="s">
        <v>308</v>
      </c>
      <c r="C12" s="102">
        <f>0.01*C11</f>
        <v>274.5</v>
      </c>
      <c r="D12" s="102">
        <f t="shared" ref="D12:E12" si="0">0.01*D11</f>
        <v>650</v>
      </c>
      <c r="E12" s="102">
        <f t="shared" si="0"/>
        <v>462.25</v>
      </c>
      <c r="F12" s="192" t="s">
        <v>311</v>
      </c>
      <c r="G12" s="219"/>
      <c r="H12" s="219"/>
      <c r="I12" s="219"/>
      <c r="J12" s="219"/>
      <c r="K12" s="219"/>
      <c r="L12" s="219"/>
      <c r="M12" s="34"/>
      <c r="N12" s="30"/>
      <c r="O12" s="30"/>
      <c r="P12" s="30"/>
      <c r="Q12" s="30"/>
      <c r="R12" s="30"/>
      <c r="S12" s="30"/>
    </row>
    <row r="13" spans="1:19" ht="29.1" customHeight="1">
      <c r="A13" s="22" t="s">
        <v>96</v>
      </c>
      <c r="B13" s="16" t="s">
        <v>308</v>
      </c>
      <c r="C13" s="108">
        <f>(-PMT('Parameters &amp; assumpties'!B8,'Minder bodemverdichting'!E10,'Minder bodemverdichting'!C11))+'Minder bodemverdichting'!C12</f>
        <v>1953.2519125392212</v>
      </c>
      <c r="D13" s="108">
        <f>(-PMT('Parameters &amp; assumpties'!B8,'Minder bodemverdichting'!E10,'Minder bodemverdichting'!D11))+'Minder bodemverdichting'!D12</f>
        <v>4625.1866781438748</v>
      </c>
      <c r="E13" s="108">
        <f>(-PMT('Parameters &amp; assumpties'!B8,'Minder bodemverdichting'!E10,'Minder bodemverdichting'!E11))+'Minder bodemverdichting'!E12</f>
        <v>3289.2192953415483</v>
      </c>
      <c r="F13" s="278"/>
      <c r="G13" s="279"/>
      <c r="H13" s="279"/>
      <c r="I13" s="279"/>
      <c r="J13" s="279"/>
      <c r="K13" s="279"/>
      <c r="L13" s="280"/>
      <c r="M13" s="14"/>
    </row>
    <row r="14" spans="1:19">
      <c r="A14" s="10" t="s">
        <v>97</v>
      </c>
      <c r="B14" s="10"/>
      <c r="C14" s="10"/>
      <c r="D14" s="10"/>
      <c r="E14" s="10"/>
      <c r="F14" s="10"/>
      <c r="G14" s="10"/>
      <c r="H14" s="10"/>
      <c r="I14" s="10"/>
      <c r="J14" s="10"/>
      <c r="K14" s="10"/>
      <c r="L14" s="10"/>
      <c r="M14" s="24"/>
    </row>
    <row r="15" spans="1:19" ht="14.45" customHeight="1">
      <c r="A15" s="19" t="s">
        <v>75</v>
      </c>
      <c r="B15" s="20" t="s">
        <v>76</v>
      </c>
      <c r="C15" s="20" t="s">
        <v>38</v>
      </c>
      <c r="D15" s="20" t="s">
        <v>39</v>
      </c>
      <c r="E15" s="21" t="s">
        <v>40</v>
      </c>
      <c r="F15" s="268" t="s">
        <v>98</v>
      </c>
      <c r="G15" s="269"/>
      <c r="H15" s="269"/>
      <c r="I15" s="269"/>
      <c r="J15" s="269"/>
      <c r="K15" s="269"/>
      <c r="L15" s="270"/>
      <c r="M15" s="1"/>
    </row>
    <row r="16" spans="1:19">
      <c r="A16" s="8"/>
      <c r="B16" s="16"/>
      <c r="C16" s="36"/>
      <c r="D16" s="36"/>
      <c r="E16" s="36"/>
      <c r="F16" s="281"/>
      <c r="G16" s="282"/>
      <c r="H16" s="282"/>
      <c r="I16" s="282"/>
      <c r="J16" s="282"/>
      <c r="K16" s="282"/>
      <c r="L16" s="283"/>
      <c r="M16" s="15"/>
    </row>
    <row r="17" spans="1:13">
      <c r="A17" s="221" t="s">
        <v>105</v>
      </c>
      <c r="B17" s="221"/>
      <c r="C17" s="221"/>
      <c r="D17" s="221"/>
      <c r="E17" s="221"/>
      <c r="F17" s="221"/>
      <c r="G17" s="221"/>
      <c r="H17" s="221"/>
      <c r="I17" s="221"/>
      <c r="J17" s="221"/>
      <c r="K17" s="221"/>
      <c r="L17" s="221"/>
      <c r="M17" s="222"/>
    </row>
    <row r="18" spans="1:13" ht="50.1" customHeight="1">
      <c r="A18" s="284"/>
      <c r="B18" s="285"/>
      <c r="C18" s="285"/>
      <c r="D18" s="285"/>
      <c r="E18" s="285"/>
      <c r="F18" s="285"/>
      <c r="G18" s="285"/>
      <c r="H18" s="285"/>
      <c r="I18" s="285"/>
      <c r="J18" s="285"/>
      <c r="K18" s="285"/>
      <c r="L18" s="285"/>
      <c r="M18" s="286"/>
    </row>
    <row r="19" spans="1:13">
      <c r="A19" s="287" t="s">
        <v>107</v>
      </c>
      <c r="B19" s="287"/>
      <c r="C19" s="287"/>
      <c r="D19" s="287"/>
      <c r="E19" s="287"/>
      <c r="F19" s="287"/>
      <c r="G19" s="287"/>
      <c r="H19" s="287"/>
      <c r="I19" s="287"/>
      <c r="J19" s="287"/>
      <c r="K19" s="287"/>
      <c r="L19" s="287"/>
      <c r="M19" s="287"/>
    </row>
    <row r="20" spans="1:13">
      <c r="A20" s="17" t="s">
        <v>108</v>
      </c>
      <c r="B20" s="18" t="s">
        <v>109</v>
      </c>
      <c r="C20" s="226" t="s">
        <v>110</v>
      </c>
      <c r="D20" s="227"/>
      <c r="E20" s="227"/>
      <c r="F20" s="227"/>
      <c r="G20" s="227"/>
      <c r="H20" s="227"/>
      <c r="I20" s="227"/>
      <c r="J20" s="227"/>
      <c r="K20" s="227"/>
      <c r="L20" s="228"/>
      <c r="M20" s="162" t="s">
        <v>78</v>
      </c>
    </row>
    <row r="21" spans="1:13">
      <c r="A21" s="58" t="s">
        <v>312</v>
      </c>
      <c r="B21" s="58" t="s">
        <v>112</v>
      </c>
      <c r="C21" s="253" t="s">
        <v>313</v>
      </c>
      <c r="D21" s="254"/>
      <c r="E21" s="254"/>
      <c r="F21" s="254"/>
      <c r="G21" s="254"/>
      <c r="H21" s="254"/>
      <c r="I21" s="254"/>
      <c r="J21" s="254"/>
      <c r="K21" s="254"/>
      <c r="L21" s="254"/>
      <c r="M21" s="131" t="s">
        <v>314</v>
      </c>
    </row>
    <row r="22" spans="1:13">
      <c r="A22" s="58" t="s">
        <v>296</v>
      </c>
      <c r="B22" s="58" t="s">
        <v>112</v>
      </c>
      <c r="C22" s="253" t="s">
        <v>315</v>
      </c>
      <c r="D22" s="254"/>
      <c r="E22" s="254"/>
      <c r="F22" s="254"/>
      <c r="G22" s="254"/>
      <c r="H22" s="254"/>
      <c r="I22" s="254"/>
      <c r="J22" s="254"/>
      <c r="K22" s="254"/>
      <c r="L22" s="254"/>
      <c r="M22" s="131" t="s">
        <v>314</v>
      </c>
    </row>
    <row r="23" spans="1:13">
      <c r="A23" s="58" t="s">
        <v>316</v>
      </c>
      <c r="B23" s="58" t="s">
        <v>112</v>
      </c>
      <c r="C23" s="253" t="s">
        <v>317</v>
      </c>
      <c r="D23" s="254"/>
      <c r="E23" s="254"/>
      <c r="F23" s="254"/>
      <c r="G23" s="254"/>
      <c r="H23" s="254"/>
      <c r="I23" s="254"/>
      <c r="J23" s="254"/>
      <c r="K23" s="254"/>
      <c r="L23" s="254"/>
      <c r="M23" s="131" t="s">
        <v>314</v>
      </c>
    </row>
  </sheetData>
  <mergeCells count="26">
    <mergeCell ref="A5:M5"/>
    <mergeCell ref="B6:C6"/>
    <mergeCell ref="D6:E6"/>
    <mergeCell ref="F6:L6"/>
    <mergeCell ref="A1:M1"/>
    <mergeCell ref="A2:M2"/>
    <mergeCell ref="A3:M3"/>
    <mergeCell ref="A4:M4"/>
    <mergeCell ref="A17:M17"/>
    <mergeCell ref="B7:C7"/>
    <mergeCell ref="D7:E7"/>
    <mergeCell ref="F7:L7"/>
    <mergeCell ref="A8:M8"/>
    <mergeCell ref="F9:L9"/>
    <mergeCell ref="F10:L10"/>
    <mergeCell ref="F11:L11"/>
    <mergeCell ref="F12:L12"/>
    <mergeCell ref="F13:L13"/>
    <mergeCell ref="F15:L15"/>
    <mergeCell ref="F16:L16"/>
    <mergeCell ref="C21:L21"/>
    <mergeCell ref="C22:L22"/>
    <mergeCell ref="C23:L23"/>
    <mergeCell ref="A18:M18"/>
    <mergeCell ref="A19:M19"/>
    <mergeCell ref="C20:L20"/>
  </mergeCells>
  <hyperlinks>
    <hyperlink ref="M21" r:id="rId1" display="http://www.boerennatuur.be/pdf/2018_Koester-de-koolstof_Eindrapport.pdf" xr:uid="{86847E3B-4950-4AE7-8C85-5E196DD3848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5142-EE9A-46F9-A8D0-C3434779D5DA}">
  <sheetPr>
    <tabColor rgb="FFD0FBE3"/>
  </sheetPr>
  <dimension ref="A1:S26"/>
  <sheetViews>
    <sheetView zoomScaleNormal="100" workbookViewId="0">
      <selection activeCell="F8" sqref="F8:L8"/>
    </sheetView>
  </sheetViews>
  <sheetFormatPr defaultRowHeight="14.45"/>
  <cols>
    <col min="1" max="1" width="24.140625" customWidth="1"/>
    <col min="2" max="2" width="17.5703125" customWidth="1"/>
    <col min="3" max="3" width="11.5703125" customWidth="1"/>
    <col min="4" max="5" width="12.5703125" customWidth="1"/>
    <col min="11" max="11" width="8.140625" customWidth="1"/>
    <col min="12" max="12" width="8.7109375" hidden="1" customWidth="1"/>
    <col min="13" max="13" width="75.140625" customWidth="1"/>
  </cols>
  <sheetData>
    <row r="1" spans="1:19" ht="18.600000000000001">
      <c r="A1" s="237" t="s">
        <v>41</v>
      </c>
      <c r="B1" s="238"/>
      <c r="C1" s="238"/>
      <c r="D1" s="238"/>
      <c r="E1" s="238"/>
      <c r="F1" s="238"/>
      <c r="G1" s="238"/>
      <c r="H1" s="238"/>
      <c r="I1" s="238"/>
      <c r="J1" s="238"/>
      <c r="K1" s="238"/>
      <c r="L1" s="238"/>
      <c r="M1" s="238"/>
    </row>
    <row r="2" spans="1:19" ht="15.6">
      <c r="A2" s="239" t="s">
        <v>126</v>
      </c>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26.1" customHeight="1">
      <c r="A4" s="172" t="s">
        <v>318</v>
      </c>
      <c r="B4" s="173"/>
      <c r="C4" s="173"/>
      <c r="D4" s="173"/>
      <c r="E4" s="173"/>
      <c r="F4" s="173"/>
      <c r="G4" s="173"/>
      <c r="H4" s="173"/>
      <c r="I4" s="173"/>
      <c r="J4" s="173"/>
      <c r="K4" s="173"/>
      <c r="L4" s="173"/>
      <c r="M4" s="174"/>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ht="29.1" customHeight="1">
      <c r="A7" s="3" t="s">
        <v>80</v>
      </c>
      <c r="B7" s="218" t="s">
        <v>223</v>
      </c>
      <c r="C7" s="219"/>
      <c r="D7" s="195">
        <f>75/10000</f>
        <v>7.4999999999999997E-3</v>
      </c>
      <c r="E7" s="195"/>
      <c r="F7" s="288" t="s">
        <v>284</v>
      </c>
      <c r="G7" s="289"/>
      <c r="H7" s="289"/>
      <c r="I7" s="289"/>
      <c r="J7" s="289"/>
      <c r="K7" s="289"/>
      <c r="L7" s="290"/>
      <c r="M7" s="15"/>
    </row>
    <row r="8" spans="1:19" ht="14.45" customHeight="1">
      <c r="A8" s="2" t="s">
        <v>83</v>
      </c>
      <c r="B8" s="218" t="s">
        <v>195</v>
      </c>
      <c r="C8" s="219"/>
      <c r="D8" s="195" cm="1">
        <f t="array" ref="D8">_xlfn.XLOOKUP(A2&amp;'Parameters &amp; assumpties'!B25&amp;'Parameters &amp; assumpties'!B24&amp;'Parameters &amp; assumpties'!B23,InputSirio[Key],InputSirio[MASS_infiltratie (m3/m2 afwaterend opp/jaar)],_xludf.N/A,0,1)</f>
        <v>0.58845581009631154</v>
      </c>
      <c r="E8" s="195"/>
      <c r="F8" s="192" t="s">
        <v>84</v>
      </c>
      <c r="G8" s="193"/>
      <c r="H8" s="193"/>
      <c r="I8" s="193"/>
      <c r="J8" s="193"/>
      <c r="K8" s="193"/>
      <c r="L8" s="194"/>
      <c r="M8" s="104"/>
      <c r="N8" s="42"/>
    </row>
    <row r="9" spans="1:19">
      <c r="A9" s="221" t="s">
        <v>85</v>
      </c>
      <c r="B9" s="221"/>
      <c r="C9" s="221"/>
      <c r="D9" s="221"/>
      <c r="E9" s="221"/>
      <c r="F9" s="221"/>
      <c r="G9" s="221"/>
      <c r="H9" s="221"/>
      <c r="I9" s="221"/>
      <c r="J9" s="221"/>
      <c r="K9" s="221"/>
      <c r="L9" s="221"/>
      <c r="M9" s="222"/>
    </row>
    <row r="10" spans="1:19">
      <c r="A10" s="31" t="s">
        <v>75</v>
      </c>
      <c r="B10" s="31" t="s">
        <v>76</v>
      </c>
      <c r="C10" s="31" t="s">
        <v>38</v>
      </c>
      <c r="D10" s="31" t="s">
        <v>39</v>
      </c>
      <c r="E10" s="32" t="s">
        <v>40</v>
      </c>
      <c r="F10" s="247" t="s">
        <v>78</v>
      </c>
      <c r="G10" s="248"/>
      <c r="H10" s="248"/>
      <c r="I10" s="248"/>
      <c r="J10" s="248"/>
      <c r="K10" s="248"/>
      <c r="L10" s="248"/>
      <c r="M10" s="1" t="s">
        <v>79</v>
      </c>
    </row>
    <row r="11" spans="1:19">
      <c r="A11" s="3" t="s">
        <v>86</v>
      </c>
      <c r="B11" s="3" t="s">
        <v>87</v>
      </c>
      <c r="C11" s="52"/>
      <c r="D11" s="52"/>
      <c r="E11" s="52">
        <f>'Parameters &amp; assumpties'!B10</f>
        <v>50</v>
      </c>
      <c r="F11" s="192" t="s">
        <v>88</v>
      </c>
      <c r="G11" s="219"/>
      <c r="H11" s="219"/>
      <c r="I11" s="219"/>
      <c r="J11" s="219"/>
      <c r="K11" s="219"/>
      <c r="L11" s="219"/>
      <c r="M11" s="3"/>
    </row>
    <row r="12" spans="1:19" ht="138.94999999999999" customHeight="1">
      <c r="A12" s="8" t="s">
        <v>130</v>
      </c>
      <c r="B12" s="3" t="s">
        <v>196</v>
      </c>
      <c r="C12" s="86">
        <v>3</v>
      </c>
      <c r="D12" s="86">
        <v>30</v>
      </c>
      <c r="E12" s="86">
        <f>AVERAGE(C12:D12)</f>
        <v>16.5</v>
      </c>
      <c r="F12" s="253" t="s">
        <v>319</v>
      </c>
      <c r="G12" s="254"/>
      <c r="H12" s="254"/>
      <c r="I12" s="254"/>
      <c r="J12" s="254"/>
      <c r="K12" s="254"/>
      <c r="L12" s="255"/>
      <c r="M12" s="14" t="s">
        <v>320</v>
      </c>
      <c r="N12" s="42"/>
    </row>
    <row r="13" spans="1:19" ht="65.45" customHeight="1">
      <c r="A13" s="8" t="s">
        <v>133</v>
      </c>
      <c r="B13" s="3" t="s">
        <v>196</v>
      </c>
      <c r="C13" s="53"/>
      <c r="D13" s="53"/>
      <c r="E13" s="53">
        <v>1.0264</v>
      </c>
      <c r="F13" s="192" t="s">
        <v>200</v>
      </c>
      <c r="G13" s="219"/>
      <c r="H13" s="219"/>
      <c r="I13" s="219"/>
      <c r="J13" s="219"/>
      <c r="K13" s="219"/>
      <c r="L13" s="219"/>
      <c r="M13" s="34" t="s">
        <v>321</v>
      </c>
      <c r="N13" s="99"/>
      <c r="O13" s="30"/>
      <c r="P13" s="30"/>
      <c r="Q13" s="30"/>
      <c r="R13" s="30"/>
      <c r="S13" s="30"/>
    </row>
    <row r="14" spans="1:19" ht="29.1" customHeight="1">
      <c r="A14" s="22" t="s">
        <v>96</v>
      </c>
      <c r="B14" s="3" t="s">
        <v>196</v>
      </c>
      <c r="C14" s="50">
        <f>(-PMT('Parameters &amp; assumpties'!$B$8, $E11,C12))+$E13</f>
        <v>1.1218696291110897</v>
      </c>
      <c r="D14" s="50">
        <f>(-PMT('Parameters &amp; assumpties'!$B$8, $E11,D12))+$E13</f>
        <v>1.9810962911108971</v>
      </c>
      <c r="E14" s="50">
        <f>(-PMT('Parameters &amp; assumpties'!$B$8, $E11,E12))+$E13</f>
        <v>1.5514829601109934</v>
      </c>
      <c r="F14" s="278"/>
      <c r="G14" s="279"/>
      <c r="H14" s="279"/>
      <c r="I14" s="279"/>
      <c r="J14" s="279"/>
      <c r="K14" s="279"/>
      <c r="L14" s="280"/>
      <c r="M14" s="14"/>
      <c r="O14" s="30"/>
      <c r="P14" s="30"/>
    </row>
    <row r="15" spans="1:19">
      <c r="A15" s="10" t="s">
        <v>97</v>
      </c>
      <c r="B15" s="10"/>
      <c r="C15" s="10"/>
      <c r="D15" s="10"/>
      <c r="E15" s="10"/>
      <c r="F15" s="10"/>
      <c r="G15" s="10"/>
      <c r="H15" s="10"/>
      <c r="I15" s="10"/>
      <c r="J15" s="10"/>
      <c r="K15" s="10"/>
      <c r="L15" s="10"/>
      <c r="M15" s="24"/>
      <c r="O15" s="30"/>
      <c r="P15" s="30"/>
    </row>
    <row r="16" spans="1:19" ht="14.45" customHeight="1">
      <c r="A16" s="19" t="s">
        <v>75</v>
      </c>
      <c r="B16" s="20" t="s">
        <v>76</v>
      </c>
      <c r="C16" s="20" t="s">
        <v>38</v>
      </c>
      <c r="D16" s="20" t="s">
        <v>39</v>
      </c>
      <c r="E16" s="21" t="s">
        <v>40</v>
      </c>
      <c r="F16" s="268" t="s">
        <v>98</v>
      </c>
      <c r="G16" s="269"/>
      <c r="H16" s="269"/>
      <c r="I16" s="269"/>
      <c r="J16" s="269"/>
      <c r="K16" s="269"/>
      <c r="L16" s="270"/>
      <c r="M16" s="1"/>
      <c r="O16" s="30"/>
      <c r="P16" s="30"/>
    </row>
    <row r="17" spans="1:16" ht="29.1">
      <c r="A17" s="8" t="s">
        <v>99</v>
      </c>
      <c r="B17" s="16" t="s">
        <v>100</v>
      </c>
      <c r="C17" s="126">
        <f>C18*$D$7/$D$8</f>
        <v>8.5790865590631843E-3</v>
      </c>
      <c r="D17" s="126">
        <f t="shared" ref="D17" si="0">D18*$D$7/$D$8</f>
        <v>1.5149707347676532E-2</v>
      </c>
      <c r="E17" s="126">
        <f>E18*$D$7/$D$8</f>
        <v>1.1864396953369856E-2</v>
      </c>
      <c r="F17" s="291"/>
      <c r="G17" s="292"/>
      <c r="H17" s="292"/>
      <c r="I17" s="292"/>
      <c r="J17" s="292"/>
      <c r="K17" s="292"/>
      <c r="L17" s="293"/>
      <c r="M17" s="15"/>
      <c r="O17" s="30"/>
      <c r="P17" s="30"/>
    </row>
    <row r="18" spans="1:16" ht="29.1">
      <c r="A18" s="3" t="s">
        <v>102</v>
      </c>
      <c r="B18" s="3" t="s">
        <v>103</v>
      </c>
      <c r="C18" s="50">
        <f>C14*0.6</f>
        <v>0.6731217774666538</v>
      </c>
      <c r="D18" s="50">
        <f>D14*0.6</f>
        <v>1.1886577746665383</v>
      </c>
      <c r="E18" s="50">
        <f>E14*0.6</f>
        <v>0.93088977606659595</v>
      </c>
      <c r="F18" s="223" t="s">
        <v>322</v>
      </c>
      <c r="G18" s="224"/>
      <c r="H18" s="224"/>
      <c r="I18" s="224"/>
      <c r="J18" s="224"/>
      <c r="K18" s="224"/>
      <c r="L18" s="225"/>
      <c r="M18" s="15"/>
      <c r="N18" s="42"/>
      <c r="O18" s="30"/>
      <c r="P18" s="30"/>
    </row>
    <row r="19" spans="1:16">
      <c r="A19" s="221" t="s">
        <v>105</v>
      </c>
      <c r="B19" s="221"/>
      <c r="C19" s="221"/>
      <c r="D19" s="221"/>
      <c r="E19" s="221"/>
      <c r="F19" s="221"/>
      <c r="G19" s="221"/>
      <c r="H19" s="221"/>
      <c r="I19" s="221"/>
      <c r="J19" s="221"/>
      <c r="K19" s="221"/>
      <c r="L19" s="221"/>
      <c r="M19" s="222"/>
      <c r="O19" s="30"/>
      <c r="P19" s="30"/>
    </row>
    <row r="20" spans="1:16" ht="28.35" customHeight="1">
      <c r="A20" s="172" t="s">
        <v>323</v>
      </c>
      <c r="B20" s="173"/>
      <c r="C20" s="173"/>
      <c r="D20" s="173"/>
      <c r="E20" s="173"/>
      <c r="F20" s="173"/>
      <c r="G20" s="173"/>
      <c r="H20" s="173"/>
      <c r="I20" s="173"/>
      <c r="J20" s="173"/>
      <c r="K20" s="173"/>
      <c r="L20" s="173"/>
      <c r="M20" s="174"/>
      <c r="O20" s="30"/>
      <c r="P20" s="30"/>
    </row>
    <row r="21" spans="1:16">
      <c r="A21" s="221" t="s">
        <v>107</v>
      </c>
      <c r="B21" s="221"/>
      <c r="C21" s="221"/>
      <c r="D21" s="221"/>
      <c r="E21" s="221"/>
      <c r="F21" s="221"/>
      <c r="G21" s="221"/>
      <c r="H21" s="221"/>
      <c r="I21" s="221"/>
      <c r="J21" s="221"/>
      <c r="K21" s="221"/>
      <c r="L21" s="221"/>
      <c r="M21" s="222"/>
      <c r="O21" s="30"/>
      <c r="P21" s="30"/>
    </row>
    <row r="22" spans="1:16">
      <c r="A22" s="17" t="s">
        <v>108</v>
      </c>
      <c r="B22" s="18" t="s">
        <v>109</v>
      </c>
      <c r="C22" s="226" t="s">
        <v>110</v>
      </c>
      <c r="D22" s="227"/>
      <c r="E22" s="227"/>
      <c r="F22" s="227"/>
      <c r="G22" s="227"/>
      <c r="H22" s="227"/>
      <c r="I22" s="227"/>
      <c r="J22" s="227"/>
      <c r="K22" s="227"/>
      <c r="L22" s="228"/>
      <c r="M22" s="47" t="s">
        <v>78</v>
      </c>
      <c r="O22" s="30"/>
      <c r="P22" s="30"/>
    </row>
    <row r="23" spans="1:16" ht="14.45" customHeight="1">
      <c r="A23" s="2" t="s">
        <v>111</v>
      </c>
      <c r="B23" s="5" t="s">
        <v>112</v>
      </c>
      <c r="C23" s="218" t="s">
        <v>113</v>
      </c>
      <c r="D23" s="219"/>
      <c r="E23" s="219"/>
      <c r="F23" s="219"/>
      <c r="G23" s="219"/>
      <c r="H23" s="219"/>
      <c r="I23" s="219"/>
      <c r="J23" s="219"/>
      <c r="K23" s="219"/>
      <c r="L23" s="220"/>
      <c r="M23" s="46" t="s">
        <v>114</v>
      </c>
      <c r="O23" s="30"/>
      <c r="P23" s="30"/>
    </row>
    <row r="24" spans="1:16" ht="14.45" customHeight="1">
      <c r="A24" s="8" t="s">
        <v>115</v>
      </c>
      <c r="B24" s="6" t="s">
        <v>112</v>
      </c>
      <c r="C24" s="218" t="s">
        <v>116</v>
      </c>
      <c r="D24" s="219"/>
      <c r="E24" s="219"/>
      <c r="F24" s="219"/>
      <c r="G24" s="219"/>
      <c r="H24" s="219"/>
      <c r="I24" s="219"/>
      <c r="J24" s="219"/>
      <c r="K24" s="219"/>
      <c r="L24" s="220"/>
      <c r="M24" s="46" t="s">
        <v>117</v>
      </c>
      <c r="O24" s="30"/>
      <c r="P24" s="30"/>
    </row>
    <row r="25" spans="1:16" ht="14.45" customHeight="1">
      <c r="A25" s="2" t="s">
        <v>118</v>
      </c>
      <c r="B25" s="5" t="s">
        <v>112</v>
      </c>
      <c r="C25" s="218" t="s">
        <v>119</v>
      </c>
      <c r="D25" s="219"/>
      <c r="E25" s="219"/>
      <c r="F25" s="219"/>
      <c r="G25" s="219"/>
      <c r="H25" s="219"/>
      <c r="I25" s="219"/>
      <c r="J25" s="219"/>
      <c r="K25" s="219"/>
      <c r="L25" s="220"/>
      <c r="M25" s="46" t="s">
        <v>117</v>
      </c>
      <c r="O25" s="30"/>
      <c r="P25" s="30"/>
    </row>
    <row r="26" spans="1:16">
      <c r="A26" s="3" t="s">
        <v>120</v>
      </c>
      <c r="B26" s="5" t="s">
        <v>112</v>
      </c>
      <c r="C26" s="218" t="s">
        <v>121</v>
      </c>
      <c r="D26" s="219"/>
      <c r="E26" s="219"/>
      <c r="F26" s="219"/>
      <c r="G26" s="219"/>
      <c r="H26" s="219"/>
      <c r="I26" s="219"/>
      <c r="J26" s="219"/>
      <c r="K26" s="219"/>
      <c r="L26" s="220"/>
      <c r="M26" s="46" t="s">
        <v>117</v>
      </c>
    </row>
  </sheetData>
  <mergeCells count="31">
    <mergeCell ref="C22:L22"/>
    <mergeCell ref="C23:L23"/>
    <mergeCell ref="C24:L24"/>
    <mergeCell ref="C25:L25"/>
    <mergeCell ref="C26:L26"/>
    <mergeCell ref="F11:L11"/>
    <mergeCell ref="A9:M9"/>
    <mergeCell ref="F10:L10"/>
    <mergeCell ref="B8:C8"/>
    <mergeCell ref="D8:E8"/>
    <mergeCell ref="F8:L8"/>
    <mergeCell ref="F12:L12"/>
    <mergeCell ref="A20:M20"/>
    <mergeCell ref="A21:M21"/>
    <mergeCell ref="A19:M19"/>
    <mergeCell ref="F13:L13"/>
    <mergeCell ref="F14:L14"/>
    <mergeCell ref="F16:L16"/>
    <mergeCell ref="F18:L18"/>
    <mergeCell ref="F17:L17"/>
    <mergeCell ref="A1:M1"/>
    <mergeCell ref="A2:M2"/>
    <mergeCell ref="A3:M3"/>
    <mergeCell ref="A4:M4"/>
    <mergeCell ref="A5:M5"/>
    <mergeCell ref="B6:C6"/>
    <mergeCell ref="D6:E6"/>
    <mergeCell ref="F6:L6"/>
    <mergeCell ref="B7:C7"/>
    <mergeCell ref="D7:E7"/>
    <mergeCell ref="F7:L7"/>
  </mergeCells>
  <hyperlinks>
    <hyperlink ref="M23" r:id="rId1" xr:uid="{1D590A32-5FE6-4869-9F69-F94E8967F6EF}"/>
    <hyperlink ref="M24" r:id="rId2" display="https://blauwgroenvlaanderen.be/professionals/maatregelen/wadis/" xr:uid="{3B849E53-A486-4E78-B03D-6C36C0811276}"/>
    <hyperlink ref="M25" r:id="rId3" display="https://blauwgroenvlaanderen.be/professionals/maatregelen/wadis/" xr:uid="{69015CEE-57A0-4200-A781-A4FC40CFF8B7}"/>
    <hyperlink ref="M26" r:id="rId4" display="https://blauwgroenvlaanderen.be/professionals/maatregelen/wadis/" xr:uid="{130A382B-204B-4510-8B65-43955CA41D70}"/>
  </hyperlink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EDFD-92F8-409C-AE2D-52A8B91D560F}">
  <sheetPr>
    <tabColor rgb="FFD0FBE3"/>
  </sheetPr>
  <dimension ref="A1:S24"/>
  <sheetViews>
    <sheetView zoomScaleNormal="100" workbookViewId="0">
      <selection activeCell="M12" sqref="M12"/>
    </sheetView>
  </sheetViews>
  <sheetFormatPr defaultRowHeight="14.45"/>
  <cols>
    <col min="1" max="1" width="24.140625" customWidth="1"/>
    <col min="2" max="2" width="17.5703125" customWidth="1"/>
    <col min="3" max="3" width="11.5703125" customWidth="1"/>
    <col min="4" max="5" width="12.5703125" customWidth="1"/>
    <col min="13" max="13" width="39.140625" customWidth="1"/>
  </cols>
  <sheetData>
    <row r="1" spans="1:19" ht="18.600000000000001">
      <c r="A1" s="237" t="s">
        <v>324</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77.45" customHeight="1">
      <c r="A4" s="172" t="s">
        <v>325</v>
      </c>
      <c r="B4" s="173"/>
      <c r="C4" s="173"/>
      <c r="D4" s="173"/>
      <c r="E4" s="173"/>
      <c r="F4" s="173"/>
      <c r="G4" s="173"/>
      <c r="H4" s="173"/>
      <c r="I4" s="173"/>
      <c r="J4" s="173"/>
      <c r="K4" s="173"/>
      <c r="L4" s="173"/>
      <c r="M4" s="174"/>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ht="72.599999999999994">
      <c r="A7" s="3" t="s">
        <v>80</v>
      </c>
      <c r="B7" s="218" t="s">
        <v>326</v>
      </c>
      <c r="C7" s="219"/>
      <c r="D7" s="195">
        <f>1.25*1.25*150</f>
        <v>234.375</v>
      </c>
      <c r="E7" s="195"/>
      <c r="F7" s="294" t="s">
        <v>327</v>
      </c>
      <c r="G7" s="176"/>
      <c r="H7" s="176"/>
      <c r="I7" s="176"/>
      <c r="J7" s="176"/>
      <c r="K7" s="176"/>
      <c r="L7" s="176"/>
      <c r="M7" s="15" t="s">
        <v>328</v>
      </c>
      <c r="N7" s="42"/>
    </row>
    <row r="8" spans="1:19" ht="217.5">
      <c r="A8" s="3" t="s">
        <v>329</v>
      </c>
      <c r="B8" s="218" t="s">
        <v>330</v>
      </c>
      <c r="C8" s="219"/>
      <c r="D8" s="195">
        <f>150*40*0.5*0.2</f>
        <v>600</v>
      </c>
      <c r="E8" s="195"/>
      <c r="F8" s="294" t="s">
        <v>327</v>
      </c>
      <c r="G8" s="176"/>
      <c r="H8" s="176"/>
      <c r="I8" s="176"/>
      <c r="J8" s="176"/>
      <c r="K8" s="176"/>
      <c r="L8" s="176"/>
      <c r="M8" s="15" t="s">
        <v>331</v>
      </c>
      <c r="N8" s="42"/>
    </row>
    <row r="9" spans="1:19">
      <c r="A9" s="221" t="s">
        <v>85</v>
      </c>
      <c r="B9" s="221"/>
      <c r="C9" s="221"/>
      <c r="D9" s="221"/>
      <c r="E9" s="221"/>
      <c r="F9" s="221"/>
      <c r="G9" s="221"/>
      <c r="H9" s="221"/>
      <c r="I9" s="221"/>
      <c r="J9" s="221"/>
      <c r="K9" s="221"/>
      <c r="L9" s="221"/>
      <c r="M9" s="222"/>
    </row>
    <row r="10" spans="1:19">
      <c r="A10" s="31" t="s">
        <v>75</v>
      </c>
      <c r="B10" s="31" t="s">
        <v>76</v>
      </c>
      <c r="C10" s="31" t="s">
        <v>38</v>
      </c>
      <c r="D10" s="31" t="s">
        <v>39</v>
      </c>
      <c r="E10" s="32" t="s">
        <v>40</v>
      </c>
      <c r="F10" s="247" t="s">
        <v>78</v>
      </c>
      <c r="G10" s="248"/>
      <c r="H10" s="248"/>
      <c r="I10" s="248"/>
      <c r="J10" s="248"/>
      <c r="K10" s="248"/>
      <c r="L10" s="248"/>
      <c r="M10" s="1" t="s">
        <v>79</v>
      </c>
    </row>
    <row r="11" spans="1:19">
      <c r="A11" s="3" t="s">
        <v>86</v>
      </c>
      <c r="B11" s="3" t="s">
        <v>87</v>
      </c>
      <c r="C11" s="52"/>
      <c r="D11" s="52"/>
      <c r="E11" s="52">
        <f>'Parameters &amp; assumpties'!B11</f>
        <v>20</v>
      </c>
      <c r="F11" s="192" t="s">
        <v>332</v>
      </c>
      <c r="G11" s="219"/>
      <c r="H11" s="219"/>
      <c r="I11" s="219"/>
      <c r="J11" s="219"/>
      <c r="K11" s="219"/>
      <c r="L11" s="219"/>
      <c r="M11" s="3"/>
    </row>
    <row r="12" spans="1:19" ht="327.60000000000002" customHeight="1">
      <c r="A12" s="8" t="s">
        <v>130</v>
      </c>
      <c r="B12" s="3" t="s">
        <v>333</v>
      </c>
      <c r="C12" s="83">
        <v>1500</v>
      </c>
      <c r="D12" s="83">
        <v>4500</v>
      </c>
      <c r="E12" s="83">
        <f>AVERAGE(C12:D12)</f>
        <v>3000</v>
      </c>
      <c r="F12" s="295" t="s">
        <v>334</v>
      </c>
      <c r="G12" s="235"/>
      <c r="H12" s="235"/>
      <c r="I12" s="235"/>
      <c r="J12" s="235"/>
      <c r="K12" s="235"/>
      <c r="L12" s="236"/>
      <c r="M12" s="14" t="s">
        <v>335</v>
      </c>
      <c r="N12" s="42"/>
    </row>
    <row r="13" spans="1:19" ht="53.1" customHeight="1">
      <c r="A13" s="8" t="s">
        <v>133</v>
      </c>
      <c r="B13" s="3" t="s">
        <v>333</v>
      </c>
      <c r="C13" s="53">
        <f>1%*C12</f>
        <v>15</v>
      </c>
      <c r="D13" s="53">
        <f t="shared" ref="D13:E13" si="0">1%*D12</f>
        <v>45</v>
      </c>
      <c r="E13" s="53">
        <f t="shared" si="0"/>
        <v>30</v>
      </c>
      <c r="F13" s="192"/>
      <c r="G13" s="219"/>
      <c r="H13" s="219"/>
      <c r="I13" s="219"/>
      <c r="J13" s="219"/>
      <c r="K13" s="219"/>
      <c r="L13" s="219"/>
      <c r="M13" s="112" t="s">
        <v>153</v>
      </c>
      <c r="N13" s="113"/>
      <c r="O13" s="113"/>
      <c r="P13" s="113"/>
      <c r="Q13" s="113"/>
      <c r="R13" s="113"/>
      <c r="S13" s="113"/>
    </row>
    <row r="14" spans="1:19" ht="29.1" customHeight="1">
      <c r="A14" s="22" t="s">
        <v>96</v>
      </c>
      <c r="B14" s="16" t="s">
        <v>333</v>
      </c>
      <c r="C14" s="50">
        <f>(-PMT('Parameters &amp; assumpties'!$B$8, $E11,C12))+C13</f>
        <v>106.73507718793559</v>
      </c>
      <c r="D14" s="50">
        <f>(-PMT('Parameters &amp; assumpties'!$B$8, $E11,D12))+D13</f>
        <v>320.20523156380676</v>
      </c>
      <c r="E14" s="50">
        <f>(-PMT('Parameters &amp; assumpties'!$B$8, $E11,E12))+E13</f>
        <v>213.47015437587118</v>
      </c>
      <c r="F14" s="278"/>
      <c r="G14" s="279"/>
      <c r="H14" s="279"/>
      <c r="I14" s="279"/>
      <c r="J14" s="279"/>
      <c r="K14" s="279"/>
      <c r="L14" s="280"/>
      <c r="M14" s="14"/>
    </row>
    <row r="15" spans="1:19">
      <c r="A15" s="10" t="s">
        <v>97</v>
      </c>
      <c r="B15" s="10"/>
      <c r="C15" s="10"/>
      <c r="D15" s="10"/>
      <c r="E15" s="10"/>
      <c r="F15" s="10"/>
      <c r="G15" s="10"/>
      <c r="H15" s="10"/>
      <c r="I15" s="10"/>
      <c r="J15" s="10"/>
      <c r="K15" s="10"/>
      <c r="L15" s="10"/>
      <c r="M15" s="24"/>
    </row>
    <row r="16" spans="1:19" ht="14.45" customHeight="1">
      <c r="A16" s="19" t="s">
        <v>75</v>
      </c>
      <c r="B16" s="20" t="s">
        <v>76</v>
      </c>
      <c r="C16" s="20" t="s">
        <v>38</v>
      </c>
      <c r="D16" s="20" t="s">
        <v>39</v>
      </c>
      <c r="E16" s="21" t="s">
        <v>40</v>
      </c>
      <c r="F16" s="268" t="s">
        <v>98</v>
      </c>
      <c r="G16" s="269"/>
      <c r="H16" s="269"/>
      <c r="I16" s="269"/>
      <c r="J16" s="269"/>
      <c r="K16" s="269"/>
      <c r="L16" s="270"/>
      <c r="M16" s="1"/>
    </row>
    <row r="17" spans="1:13" ht="29.1">
      <c r="A17" s="3" t="s">
        <v>102</v>
      </c>
      <c r="B17" s="16" t="s">
        <v>288</v>
      </c>
      <c r="C17" s="69">
        <f>C14/$D$7</f>
        <v>0.45540299600185852</v>
      </c>
      <c r="D17" s="69">
        <f t="shared" ref="D17:E17" si="1">D14/$D$7</f>
        <v>1.3662089880055754</v>
      </c>
      <c r="E17" s="69">
        <f t="shared" si="1"/>
        <v>0.91080599200371704</v>
      </c>
      <c r="F17" s="281"/>
      <c r="G17" s="282"/>
      <c r="H17" s="282"/>
      <c r="I17" s="282"/>
      <c r="J17" s="282"/>
      <c r="K17" s="282"/>
      <c r="L17" s="283"/>
      <c r="M17" s="15"/>
    </row>
    <row r="18" spans="1:13" ht="43.5">
      <c r="A18" s="8" t="s">
        <v>336</v>
      </c>
      <c r="B18" s="16" t="s">
        <v>337</v>
      </c>
      <c r="C18" s="69">
        <f>C14/$D$8</f>
        <v>0.17789179531322599</v>
      </c>
      <c r="D18" s="69">
        <f t="shared" ref="D18:E18" si="2">D14/$D$8</f>
        <v>0.53367538593967789</v>
      </c>
      <c r="E18" s="69">
        <f t="shared" si="2"/>
        <v>0.35578359062645198</v>
      </c>
      <c r="F18" s="281"/>
      <c r="G18" s="282"/>
      <c r="H18" s="282"/>
      <c r="I18" s="282"/>
      <c r="J18" s="282"/>
      <c r="K18" s="282"/>
      <c r="L18" s="283"/>
      <c r="M18" s="15"/>
    </row>
    <row r="19" spans="1:13">
      <c r="A19" s="221" t="s">
        <v>105</v>
      </c>
      <c r="B19" s="221"/>
      <c r="C19" s="221"/>
      <c r="D19" s="221"/>
      <c r="E19" s="221"/>
      <c r="F19" s="221"/>
      <c r="G19" s="221"/>
      <c r="H19" s="221"/>
      <c r="I19" s="221"/>
      <c r="J19" s="221"/>
      <c r="K19" s="221"/>
      <c r="L19" s="221"/>
      <c r="M19" s="222"/>
    </row>
    <row r="20" spans="1:13" ht="72" customHeight="1">
      <c r="A20" s="172" t="s">
        <v>338</v>
      </c>
      <c r="B20" s="173"/>
      <c r="C20" s="173"/>
      <c r="D20" s="173"/>
      <c r="E20" s="173"/>
      <c r="F20" s="173"/>
      <c r="G20" s="173"/>
      <c r="H20" s="173"/>
      <c r="I20" s="173"/>
      <c r="J20" s="173"/>
      <c r="K20" s="173"/>
      <c r="L20" s="173"/>
      <c r="M20" s="174"/>
    </row>
    <row r="21" spans="1:13">
      <c r="A21" s="221" t="s">
        <v>107</v>
      </c>
      <c r="B21" s="221"/>
      <c r="C21" s="221"/>
      <c r="D21" s="221"/>
      <c r="E21" s="221"/>
      <c r="F21" s="221"/>
      <c r="G21" s="221"/>
      <c r="H21" s="221"/>
      <c r="I21" s="221"/>
      <c r="J21" s="221"/>
      <c r="K21" s="221"/>
      <c r="L21" s="221"/>
      <c r="M21" s="222"/>
    </row>
    <row r="22" spans="1:13">
      <c r="A22" s="17" t="s">
        <v>108</v>
      </c>
      <c r="B22" s="18" t="s">
        <v>109</v>
      </c>
      <c r="C22" s="226" t="s">
        <v>110</v>
      </c>
      <c r="D22" s="227"/>
      <c r="E22" s="227"/>
      <c r="F22" s="227"/>
      <c r="G22" s="227"/>
      <c r="H22" s="227"/>
      <c r="I22" s="227"/>
      <c r="J22" s="227"/>
      <c r="K22" s="227"/>
      <c r="L22" s="228"/>
      <c r="M22" s="47" t="s">
        <v>78</v>
      </c>
    </row>
    <row r="23" spans="1:13" ht="14.45" customHeight="1">
      <c r="A23" s="38" t="s">
        <v>111</v>
      </c>
      <c r="B23" s="39" t="s">
        <v>219</v>
      </c>
      <c r="C23" s="218" t="s">
        <v>339</v>
      </c>
      <c r="D23" s="219"/>
      <c r="E23" s="219"/>
      <c r="F23" s="219"/>
      <c r="G23" s="219"/>
      <c r="H23" s="219"/>
      <c r="I23" s="219"/>
      <c r="J23" s="219"/>
      <c r="K23" s="219"/>
      <c r="L23" s="220"/>
      <c r="M23" s="13" t="s">
        <v>340</v>
      </c>
    </row>
    <row r="24" spans="1:13" ht="14.45" customHeight="1">
      <c r="A24" s="3" t="s">
        <v>184</v>
      </c>
      <c r="B24" s="5" t="s">
        <v>219</v>
      </c>
      <c r="C24" s="218" t="s">
        <v>341</v>
      </c>
      <c r="D24" s="219"/>
      <c r="E24" s="219"/>
      <c r="F24" s="219"/>
      <c r="G24" s="219"/>
      <c r="H24" s="219"/>
      <c r="I24" s="219"/>
      <c r="J24" s="219"/>
      <c r="K24" s="219"/>
      <c r="L24" s="220"/>
      <c r="M24" s="13" t="s">
        <v>340</v>
      </c>
    </row>
  </sheetData>
  <mergeCells count="29">
    <mergeCell ref="C24:L24"/>
    <mergeCell ref="F8:L8"/>
    <mergeCell ref="F18:L18"/>
    <mergeCell ref="F11:L11"/>
    <mergeCell ref="A9:M9"/>
    <mergeCell ref="F10:L10"/>
    <mergeCell ref="B8:C8"/>
    <mergeCell ref="D8:E8"/>
    <mergeCell ref="A19:M19"/>
    <mergeCell ref="A20:M20"/>
    <mergeCell ref="A21:M21"/>
    <mergeCell ref="C22:L22"/>
    <mergeCell ref="C23:L23"/>
    <mergeCell ref="F12:L12"/>
    <mergeCell ref="F13:L13"/>
    <mergeCell ref="F14:L14"/>
    <mergeCell ref="F16:L16"/>
    <mergeCell ref="F17:L17"/>
    <mergeCell ref="A1:M1"/>
    <mergeCell ref="A2:M2"/>
    <mergeCell ref="A3:M3"/>
    <mergeCell ref="A4:M4"/>
    <mergeCell ref="A5:M5"/>
    <mergeCell ref="B6:C6"/>
    <mergeCell ref="D6:E6"/>
    <mergeCell ref="F6:L6"/>
    <mergeCell ref="B7:C7"/>
    <mergeCell ref="D7:E7"/>
    <mergeCell ref="F7:L7"/>
  </mergeCells>
  <hyperlinks>
    <hyperlink ref="F7" r:id="rId1" xr:uid="{ACC6746B-5EED-440C-9C94-988B704FB45B}"/>
    <hyperlink ref="F8" r:id="rId2" xr:uid="{94CE1CF7-0381-4A62-937D-3603568D0461}"/>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C5FB-B2B2-449A-8BB2-49FD9696B66E}">
  <sheetPr>
    <tabColor rgb="FFD0FBE3"/>
  </sheetPr>
  <dimension ref="A1:N28"/>
  <sheetViews>
    <sheetView zoomScaleNormal="100" workbookViewId="0">
      <selection activeCell="F8" sqref="F8:L8"/>
    </sheetView>
  </sheetViews>
  <sheetFormatPr defaultColWidth="8.85546875" defaultRowHeight="14.45"/>
  <cols>
    <col min="1" max="1" width="24.140625" customWidth="1"/>
    <col min="2" max="2" width="17.5703125" customWidth="1"/>
    <col min="3" max="3" width="11.5703125" customWidth="1"/>
    <col min="4" max="5" width="12.5703125" customWidth="1"/>
    <col min="12" max="12" width="4.5703125" customWidth="1"/>
    <col min="13" max="13" width="61.42578125" customWidth="1"/>
    <col min="14" max="14" width="23.5703125" customWidth="1"/>
  </cols>
  <sheetData>
    <row r="1" spans="1:14" ht="18.600000000000001">
      <c r="A1" s="237" t="s">
        <v>342</v>
      </c>
      <c r="B1" s="238"/>
      <c r="C1" s="238"/>
      <c r="D1" s="238"/>
      <c r="E1" s="238"/>
      <c r="F1" s="238"/>
      <c r="G1" s="238"/>
      <c r="H1" s="238"/>
      <c r="I1" s="238"/>
      <c r="J1" s="238"/>
      <c r="K1" s="238"/>
      <c r="L1" s="238"/>
      <c r="M1" s="238"/>
    </row>
    <row r="2" spans="1:14" ht="15.6">
      <c r="A2" s="239"/>
      <c r="B2" s="240"/>
      <c r="C2" s="240"/>
      <c r="D2" s="240"/>
      <c r="E2" s="240"/>
      <c r="F2" s="240"/>
      <c r="G2" s="240"/>
      <c r="H2" s="240"/>
      <c r="I2" s="240"/>
      <c r="J2" s="240"/>
      <c r="K2" s="240"/>
      <c r="L2" s="240"/>
      <c r="M2" s="241"/>
    </row>
    <row r="3" spans="1:14">
      <c r="A3" s="242" t="s">
        <v>72</v>
      </c>
      <c r="B3" s="221"/>
      <c r="C3" s="221"/>
      <c r="D3" s="221"/>
      <c r="E3" s="221"/>
      <c r="F3" s="221"/>
      <c r="G3" s="221"/>
      <c r="H3" s="221"/>
      <c r="I3" s="221"/>
      <c r="J3" s="221"/>
      <c r="K3" s="221"/>
      <c r="L3" s="221"/>
      <c r="M3" s="221"/>
    </row>
    <row r="4" spans="1:14" ht="72" customHeight="1">
      <c r="A4" s="259" t="s">
        <v>343</v>
      </c>
      <c r="B4" s="259"/>
      <c r="C4" s="259"/>
      <c r="D4" s="259"/>
      <c r="E4" s="259"/>
      <c r="F4" s="259"/>
      <c r="G4" s="259"/>
      <c r="H4" s="259"/>
      <c r="I4" s="259"/>
      <c r="J4" s="259"/>
      <c r="K4" s="259"/>
      <c r="L4" s="259"/>
      <c r="M4" s="260"/>
      <c r="N4" s="42"/>
    </row>
    <row r="5" spans="1:14">
      <c r="A5" s="243" t="s">
        <v>74</v>
      </c>
      <c r="B5" s="244"/>
      <c r="C5" s="244"/>
      <c r="D5" s="244"/>
      <c r="E5" s="244"/>
      <c r="F5" s="244"/>
      <c r="G5" s="244"/>
      <c r="H5" s="244"/>
      <c r="I5" s="244"/>
      <c r="J5" s="244"/>
      <c r="K5" s="244"/>
      <c r="L5" s="244"/>
      <c r="M5" s="244"/>
    </row>
    <row r="6" spans="1:14">
      <c r="A6" s="27" t="s">
        <v>75</v>
      </c>
      <c r="B6" s="245" t="s">
        <v>76</v>
      </c>
      <c r="C6" s="246"/>
      <c r="D6" s="184" t="s">
        <v>77</v>
      </c>
      <c r="E6" s="184"/>
      <c r="F6" s="247" t="s">
        <v>78</v>
      </c>
      <c r="G6" s="248"/>
      <c r="H6" s="248"/>
      <c r="I6" s="248"/>
      <c r="J6" s="248"/>
      <c r="K6" s="248"/>
      <c r="L6" s="249"/>
      <c r="M6" s="1" t="s">
        <v>128</v>
      </c>
    </row>
    <row r="7" spans="1:14" ht="29.1">
      <c r="A7" s="3" t="s">
        <v>80</v>
      </c>
      <c r="B7" s="218" t="s">
        <v>344</v>
      </c>
      <c r="C7" s="219"/>
      <c r="D7" s="195">
        <v>1</v>
      </c>
      <c r="E7" s="195"/>
      <c r="F7" s="294" t="s">
        <v>327</v>
      </c>
      <c r="G7" s="176"/>
      <c r="H7" s="176"/>
      <c r="I7" s="176"/>
      <c r="J7" s="176"/>
      <c r="K7" s="176"/>
      <c r="L7" s="176"/>
      <c r="M7" s="15" t="s">
        <v>345</v>
      </c>
      <c r="N7" s="42"/>
    </row>
    <row r="8" spans="1:14" ht="43.5">
      <c r="A8" s="3" t="s">
        <v>329</v>
      </c>
      <c r="B8" s="218" t="s">
        <v>346</v>
      </c>
      <c r="C8" s="219"/>
      <c r="D8" s="195">
        <f>40*0.2</f>
        <v>8</v>
      </c>
      <c r="E8" s="195"/>
      <c r="F8" s="294" t="s">
        <v>327</v>
      </c>
      <c r="G8" s="176"/>
      <c r="H8" s="176"/>
      <c r="I8" s="176"/>
      <c r="J8" s="176"/>
      <c r="K8" s="176"/>
      <c r="L8" s="176"/>
      <c r="M8" s="15" t="s">
        <v>347</v>
      </c>
      <c r="N8" s="42"/>
    </row>
    <row r="9" spans="1:14">
      <c r="A9" s="221" t="s">
        <v>85</v>
      </c>
      <c r="B9" s="221"/>
      <c r="C9" s="221"/>
      <c r="D9" s="221"/>
      <c r="E9" s="221"/>
      <c r="F9" s="221"/>
      <c r="G9" s="221"/>
      <c r="H9" s="221"/>
      <c r="I9" s="221"/>
      <c r="J9" s="221"/>
      <c r="K9" s="221"/>
      <c r="L9" s="221"/>
      <c r="M9" s="222"/>
      <c r="N9" s="42"/>
    </row>
    <row r="10" spans="1:14">
      <c r="A10" s="19" t="s">
        <v>75</v>
      </c>
      <c r="B10" s="20" t="s">
        <v>76</v>
      </c>
      <c r="C10" s="20" t="s">
        <v>38</v>
      </c>
      <c r="D10" s="20" t="s">
        <v>39</v>
      </c>
      <c r="E10" s="26" t="s">
        <v>40</v>
      </c>
      <c r="F10" s="261" t="s">
        <v>78</v>
      </c>
      <c r="G10" s="262"/>
      <c r="H10" s="262"/>
      <c r="I10" s="262"/>
      <c r="J10" s="262"/>
      <c r="K10" s="262"/>
      <c r="L10" s="262"/>
      <c r="M10" s="1" t="s">
        <v>79</v>
      </c>
    </row>
    <row r="11" spans="1:14">
      <c r="A11" s="2" t="s">
        <v>86</v>
      </c>
      <c r="B11" s="3" t="s">
        <v>87</v>
      </c>
      <c r="C11" s="52"/>
      <c r="D11" s="52"/>
      <c r="E11" s="52">
        <f>'Parameters &amp; assumpties'!B11</f>
        <v>20</v>
      </c>
      <c r="F11" s="218" t="s">
        <v>88</v>
      </c>
      <c r="G11" s="219"/>
      <c r="H11" s="219"/>
      <c r="I11" s="219"/>
      <c r="J11" s="219"/>
      <c r="K11" s="219"/>
      <c r="L11" s="219"/>
      <c r="M11" s="3"/>
    </row>
    <row r="12" spans="1:14" ht="137.1" customHeight="1">
      <c r="A12" s="70" t="s">
        <v>130</v>
      </c>
      <c r="B12" s="11" t="s">
        <v>348</v>
      </c>
      <c r="C12" s="52">
        <f>5+10</f>
        <v>15</v>
      </c>
      <c r="D12" s="52">
        <f>20+10</f>
        <v>30</v>
      </c>
      <c r="E12" s="52">
        <f>AVERAGE(C12:D12)</f>
        <v>22.5</v>
      </c>
      <c r="F12" s="296" t="s">
        <v>349</v>
      </c>
      <c r="G12" s="297"/>
      <c r="H12" s="297"/>
      <c r="I12" s="297"/>
      <c r="J12" s="297"/>
      <c r="K12" s="297"/>
      <c r="L12" s="297"/>
      <c r="M12" s="13" t="s">
        <v>350</v>
      </c>
      <c r="N12" s="37"/>
    </row>
    <row r="13" spans="1:14" ht="30.95" customHeight="1">
      <c r="A13" s="67" t="s">
        <v>133</v>
      </c>
      <c r="B13" s="3" t="s">
        <v>348</v>
      </c>
      <c r="C13" s="53">
        <f>0.01*C12</f>
        <v>0.15</v>
      </c>
      <c r="D13" s="53">
        <f t="shared" ref="D13:E13" si="0">0.01*D12</f>
        <v>0.3</v>
      </c>
      <c r="E13" s="53">
        <f t="shared" si="0"/>
        <v>0.22500000000000001</v>
      </c>
      <c r="F13" s="234"/>
      <c r="G13" s="264"/>
      <c r="H13" s="264"/>
      <c r="I13" s="264"/>
      <c r="J13" s="264"/>
      <c r="K13" s="264"/>
      <c r="L13" s="264"/>
      <c r="M13" s="14" t="s">
        <v>153</v>
      </c>
      <c r="N13" s="42"/>
    </row>
    <row r="14" spans="1:14" ht="14.45" customHeight="1">
      <c r="A14" s="71" t="s">
        <v>96</v>
      </c>
      <c r="B14" s="61" t="s">
        <v>348</v>
      </c>
      <c r="C14" s="50">
        <f>-PMT('Parameters &amp; assumpties'!B8,'Buffer- en infiltratiegrachten'!E11,'Buffer- en infiltratiegrachten'!C12)+'Buffer- en infiltratiegrachten'!C13</f>
        <v>1.0673507718793558</v>
      </c>
      <c r="D14" s="50">
        <f>-PMT('Parameters &amp; assumpties'!B8,'Buffer- en infiltratiegrachten'!E11,'Buffer- en infiltratiegrachten'!D12)+'Buffer- en infiltratiegrachten'!D13</f>
        <v>2.1347015437587116</v>
      </c>
      <c r="E14" s="50">
        <f>-PMT('Parameters &amp; assumpties'!B8,'Buffer- en infiltratiegrachten'!E11,'Buffer- en infiltratiegrachten'!E12)+'Buffer- en infiltratiegrachten'!E13</f>
        <v>1.6010261578190339</v>
      </c>
      <c r="F14" s="265"/>
      <c r="G14" s="266"/>
      <c r="H14" s="266"/>
      <c r="I14" s="266"/>
      <c r="J14" s="266"/>
      <c r="K14" s="266"/>
      <c r="L14" s="267"/>
      <c r="M14" s="14"/>
    </row>
    <row r="15" spans="1:14">
      <c r="A15" s="10" t="s">
        <v>97</v>
      </c>
      <c r="B15" s="10"/>
      <c r="C15" s="10"/>
      <c r="D15" s="10"/>
      <c r="E15" s="10"/>
      <c r="F15" s="10"/>
      <c r="G15" s="10"/>
      <c r="H15" s="10"/>
      <c r="I15" s="10"/>
      <c r="J15" s="10"/>
      <c r="K15" s="10"/>
      <c r="L15" s="10"/>
      <c r="M15" s="24"/>
    </row>
    <row r="16" spans="1:14">
      <c r="A16" s="19" t="s">
        <v>75</v>
      </c>
      <c r="B16" s="20" t="s">
        <v>76</v>
      </c>
      <c r="C16" s="20" t="s">
        <v>38</v>
      </c>
      <c r="D16" s="20" t="s">
        <v>39</v>
      </c>
      <c r="E16" s="21" t="s">
        <v>40</v>
      </c>
      <c r="F16" s="268" t="s">
        <v>98</v>
      </c>
      <c r="G16" s="269"/>
      <c r="H16" s="269"/>
      <c r="I16" s="269"/>
      <c r="J16" s="269"/>
      <c r="K16" s="269"/>
      <c r="L16" s="270"/>
      <c r="M16" s="1"/>
    </row>
    <row r="17" spans="1:13" ht="29.1">
      <c r="A17" s="3" t="s">
        <v>102</v>
      </c>
      <c r="B17" s="16" t="s">
        <v>288</v>
      </c>
      <c r="C17" s="50">
        <f>C14/$D$7</f>
        <v>1.0673507718793558</v>
      </c>
      <c r="D17" s="50">
        <f t="shared" ref="D17:E17" si="1">D14/$D$7</f>
        <v>2.1347015437587116</v>
      </c>
      <c r="E17" s="50">
        <f t="shared" si="1"/>
        <v>1.6010261578190339</v>
      </c>
      <c r="F17" s="223"/>
      <c r="G17" s="224"/>
      <c r="H17" s="224"/>
      <c r="I17" s="224"/>
      <c r="J17" s="224"/>
      <c r="K17" s="224"/>
      <c r="L17" s="225"/>
      <c r="M17" s="15"/>
    </row>
    <row r="18" spans="1:13" ht="43.5">
      <c r="A18" s="3" t="s">
        <v>336</v>
      </c>
      <c r="B18" s="3" t="s">
        <v>337</v>
      </c>
      <c r="C18" s="51">
        <f>C14/$D$8</f>
        <v>0.13341884648491947</v>
      </c>
      <c r="D18" s="51">
        <f t="shared" ref="D18:E18" si="2">D14/$D$8</f>
        <v>0.26683769296983895</v>
      </c>
      <c r="E18" s="51">
        <f t="shared" si="2"/>
        <v>0.20012826972737924</v>
      </c>
      <c r="F18" s="177"/>
      <c r="G18" s="177"/>
      <c r="H18" s="177"/>
      <c r="I18" s="177"/>
      <c r="J18" s="177"/>
      <c r="K18" s="177"/>
      <c r="L18" s="177"/>
      <c r="M18" s="44"/>
    </row>
    <row r="19" spans="1:13">
      <c r="A19" s="221" t="s">
        <v>105</v>
      </c>
      <c r="B19" s="221"/>
      <c r="C19" s="221"/>
      <c r="D19" s="221"/>
      <c r="E19" s="221"/>
      <c r="F19" s="221"/>
      <c r="G19" s="221"/>
      <c r="H19" s="221"/>
      <c r="I19" s="221"/>
      <c r="J19" s="221"/>
      <c r="K19" s="221"/>
      <c r="L19" s="221"/>
      <c r="M19" s="222"/>
    </row>
    <row r="20" spans="1:13" ht="105.95" customHeight="1">
      <c r="A20" s="259" t="s">
        <v>351</v>
      </c>
      <c r="B20" s="259"/>
      <c r="C20" s="259"/>
      <c r="D20" s="259"/>
      <c r="E20" s="259"/>
      <c r="F20" s="259"/>
      <c r="G20" s="259"/>
      <c r="H20" s="259"/>
      <c r="I20" s="259"/>
      <c r="J20" s="259"/>
      <c r="K20" s="259"/>
      <c r="L20" s="259"/>
      <c r="M20" s="260"/>
    </row>
    <row r="21" spans="1:13">
      <c r="A21" s="221" t="s">
        <v>107</v>
      </c>
      <c r="B21" s="221"/>
      <c r="C21" s="221"/>
      <c r="D21" s="221"/>
      <c r="E21" s="221"/>
      <c r="F21" s="221"/>
      <c r="G21" s="221"/>
      <c r="H21" s="221"/>
      <c r="I21" s="221"/>
      <c r="J21" s="221"/>
      <c r="K21" s="221"/>
      <c r="L21" s="221"/>
      <c r="M21" s="222"/>
    </row>
    <row r="22" spans="1:13">
      <c r="A22" s="17" t="s">
        <v>108</v>
      </c>
      <c r="B22" s="18" t="s">
        <v>109</v>
      </c>
      <c r="C22" s="226" t="s">
        <v>110</v>
      </c>
      <c r="D22" s="227"/>
      <c r="E22" s="227"/>
      <c r="F22" s="227"/>
      <c r="G22" s="227"/>
      <c r="H22" s="227"/>
      <c r="I22" s="227"/>
      <c r="J22" s="227"/>
      <c r="K22" s="227"/>
      <c r="L22" s="228"/>
      <c r="M22" s="47" t="s">
        <v>78</v>
      </c>
    </row>
    <row r="23" spans="1:13" ht="29.1" customHeight="1">
      <c r="A23" s="2" t="s">
        <v>111</v>
      </c>
      <c r="B23" s="5" t="s">
        <v>112</v>
      </c>
      <c r="C23" s="218" t="s">
        <v>138</v>
      </c>
      <c r="D23" s="219"/>
      <c r="E23" s="219"/>
      <c r="F23" s="219"/>
      <c r="G23" s="219"/>
      <c r="H23" s="219"/>
      <c r="I23" s="219"/>
      <c r="J23" s="219"/>
      <c r="K23" s="219"/>
      <c r="L23" s="220"/>
      <c r="M23" s="48" t="s">
        <v>139</v>
      </c>
    </row>
    <row r="24" spans="1:13" ht="14.45" customHeight="1">
      <c r="A24" s="8" t="s">
        <v>115</v>
      </c>
      <c r="B24" s="6" t="s">
        <v>112</v>
      </c>
      <c r="C24" s="218" t="s">
        <v>116</v>
      </c>
      <c r="D24" s="219"/>
      <c r="E24" s="219"/>
      <c r="F24" s="219"/>
      <c r="G24" s="219"/>
      <c r="H24" s="219"/>
      <c r="I24" s="219"/>
      <c r="J24" s="219"/>
      <c r="K24" s="219"/>
      <c r="L24" s="220"/>
      <c r="M24" s="48" t="s">
        <v>117</v>
      </c>
    </row>
    <row r="25" spans="1:13" ht="14.45" customHeight="1">
      <c r="A25" s="2" t="s">
        <v>118</v>
      </c>
      <c r="B25" s="5" t="s">
        <v>112</v>
      </c>
      <c r="C25" s="218" t="s">
        <v>119</v>
      </c>
      <c r="D25" s="219"/>
      <c r="E25" s="219"/>
      <c r="F25" s="219"/>
      <c r="G25" s="219"/>
      <c r="H25" s="219"/>
      <c r="I25" s="219"/>
      <c r="J25" s="219"/>
      <c r="K25" s="219"/>
      <c r="L25" s="220"/>
      <c r="M25" s="48" t="s">
        <v>117</v>
      </c>
    </row>
    <row r="26" spans="1:13" ht="29.1" customHeight="1">
      <c r="A26" s="3" t="s">
        <v>120</v>
      </c>
      <c r="B26" s="5" t="s">
        <v>112</v>
      </c>
      <c r="C26" s="218" t="s">
        <v>121</v>
      </c>
      <c r="D26" s="219"/>
      <c r="E26" s="219"/>
      <c r="F26" s="219"/>
      <c r="G26" s="219"/>
      <c r="H26" s="219"/>
      <c r="I26" s="219"/>
      <c r="J26" s="219"/>
      <c r="K26" s="219"/>
      <c r="L26" s="220"/>
      <c r="M26" s="48" t="s">
        <v>139</v>
      </c>
    </row>
    <row r="27" spans="1:13" ht="14.45" customHeight="1">
      <c r="A27" s="3" t="s">
        <v>122</v>
      </c>
      <c r="B27" s="5" t="s">
        <v>112</v>
      </c>
      <c r="C27" s="218" t="s">
        <v>352</v>
      </c>
      <c r="D27" s="219"/>
      <c r="E27" s="219"/>
      <c r="F27" s="219"/>
      <c r="G27" s="219"/>
      <c r="H27" s="219"/>
      <c r="I27" s="219"/>
      <c r="J27" s="219"/>
      <c r="K27" s="219"/>
      <c r="L27" s="220"/>
      <c r="M27" s="48" t="s">
        <v>117</v>
      </c>
    </row>
    <row r="28" spans="1:13" ht="14.45" customHeight="1">
      <c r="A28" s="3" t="s">
        <v>124</v>
      </c>
      <c r="B28" s="5" t="s">
        <v>112</v>
      </c>
      <c r="C28" s="218" t="s">
        <v>125</v>
      </c>
      <c r="D28" s="219"/>
      <c r="E28" s="219"/>
      <c r="F28" s="219"/>
      <c r="G28" s="219"/>
      <c r="H28" s="219"/>
      <c r="I28" s="219"/>
      <c r="J28" s="219"/>
      <c r="K28" s="219"/>
      <c r="L28" s="220"/>
      <c r="M28" s="48" t="s">
        <v>139</v>
      </c>
    </row>
  </sheetData>
  <mergeCells count="33">
    <mergeCell ref="B8:C8"/>
    <mergeCell ref="D8:E8"/>
    <mergeCell ref="F8:L8"/>
    <mergeCell ref="B7:C7"/>
    <mergeCell ref="D7:E7"/>
    <mergeCell ref="F7:L7"/>
    <mergeCell ref="B6:C6"/>
    <mergeCell ref="D6:E6"/>
    <mergeCell ref="F6:L6"/>
    <mergeCell ref="A1:M1"/>
    <mergeCell ref="A2:M2"/>
    <mergeCell ref="A3:M3"/>
    <mergeCell ref="A4:M4"/>
    <mergeCell ref="A5:M5"/>
    <mergeCell ref="A21:M21"/>
    <mergeCell ref="F13:L13"/>
    <mergeCell ref="F14:L14"/>
    <mergeCell ref="A9:M9"/>
    <mergeCell ref="F10:L10"/>
    <mergeCell ref="F11:L11"/>
    <mergeCell ref="F12:L12"/>
    <mergeCell ref="F16:L16"/>
    <mergeCell ref="F17:L17"/>
    <mergeCell ref="F18:L18"/>
    <mergeCell ref="A19:M19"/>
    <mergeCell ref="A20:M20"/>
    <mergeCell ref="C28:L28"/>
    <mergeCell ref="C22:L22"/>
    <mergeCell ref="C23:L23"/>
    <mergeCell ref="C24:L24"/>
    <mergeCell ref="C25:L25"/>
    <mergeCell ref="C26:L26"/>
    <mergeCell ref="C27:L27"/>
  </mergeCells>
  <hyperlinks>
    <hyperlink ref="M23" r:id="rId1" display="https://blauwgroenvlaanderen.be/bewoners/maatregelen/maak-een-infiltratiegracht-of-wadi/" xr:uid="{235F8C03-436C-4456-AB69-1077DBBB9443}"/>
    <hyperlink ref="M24" r:id="rId2" display="https://blauwgroenvlaanderen.be/professionals/maatregelen/wadis/" xr:uid="{BBD3DC86-1308-4A35-B707-12A273DFE5F0}"/>
    <hyperlink ref="M25" r:id="rId3" display="https://blauwgroenvlaanderen.be/professionals/maatregelen/wadis/" xr:uid="{BD88AF0E-C591-4585-BCD9-1D2C41F2A3F1}"/>
    <hyperlink ref="M27" r:id="rId4" display="https://blauwgroenvlaanderen.be/professionals/maatregelen/wadis/" xr:uid="{82973D0F-18FC-4ECE-9C57-9B391A6FAAA9}"/>
    <hyperlink ref="M26" r:id="rId5" display="https://blauwgroenvlaanderen.be/bewoners/maatregelen/maak-een-infiltratiegracht-of-wadi/" xr:uid="{ED0F8EF2-54FC-4239-B3DE-C49125434F9E}"/>
    <hyperlink ref="M28" r:id="rId6" display="https://blauwgroenvlaanderen.be/bewoners/maatregelen/maak-een-infiltratiegracht-of-wadi/" xr:uid="{7A15510F-03EF-4AE1-8834-0EC0B9F01128}"/>
    <hyperlink ref="F8" r:id="rId7" xr:uid="{B4149218-5962-44C4-B21B-9F047AEA97F6}"/>
    <hyperlink ref="F7" r:id="rId8" xr:uid="{7C1FBDE8-A2DD-4BC6-B26A-D076005A075A}"/>
  </hyperlink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0F04-B8A4-4935-8F22-ACB59A51E85B}">
  <sheetPr>
    <tabColor rgb="FFD0FBE3"/>
  </sheetPr>
  <dimension ref="A1:S26"/>
  <sheetViews>
    <sheetView topLeftCell="A10" zoomScaleNormal="100" workbookViewId="0">
      <selection activeCell="M23" sqref="M23"/>
    </sheetView>
  </sheetViews>
  <sheetFormatPr defaultColWidth="8.85546875" defaultRowHeight="14.45"/>
  <cols>
    <col min="1" max="1" width="24.140625" customWidth="1"/>
    <col min="2" max="2" width="17.5703125" customWidth="1"/>
    <col min="3" max="3" width="11.5703125" customWidth="1"/>
    <col min="4" max="5" width="12.5703125" customWidth="1"/>
    <col min="13" max="13" width="51.85546875" customWidth="1"/>
    <col min="15" max="15" width="77.5703125" customWidth="1"/>
    <col min="16" max="16" width="84" customWidth="1"/>
  </cols>
  <sheetData>
    <row r="1" spans="1:19" ht="18.600000000000001">
      <c r="A1" s="186" t="s">
        <v>353</v>
      </c>
      <c r="B1" s="186"/>
      <c r="C1" s="186"/>
      <c r="D1" s="186"/>
      <c r="E1" s="186"/>
      <c r="F1" s="186"/>
      <c r="G1" s="186"/>
      <c r="H1" s="186"/>
      <c r="I1" s="186"/>
      <c r="J1" s="186"/>
      <c r="K1" s="186"/>
      <c r="L1" s="186"/>
      <c r="M1" s="186"/>
    </row>
    <row r="2" spans="1:19" ht="15.6">
      <c r="A2" s="197"/>
      <c r="B2" s="197"/>
      <c r="C2" s="197"/>
      <c r="D2" s="197"/>
      <c r="E2" s="197"/>
      <c r="F2" s="197"/>
      <c r="G2" s="197"/>
      <c r="H2" s="197"/>
      <c r="I2" s="197"/>
      <c r="J2" s="197"/>
      <c r="K2" s="197"/>
      <c r="L2" s="197"/>
      <c r="M2" s="197"/>
    </row>
    <row r="3" spans="1:19">
      <c r="A3" s="175" t="s">
        <v>72</v>
      </c>
      <c r="B3" s="175"/>
      <c r="C3" s="175"/>
      <c r="D3" s="175"/>
      <c r="E3" s="175"/>
      <c r="F3" s="175"/>
      <c r="G3" s="175"/>
      <c r="H3" s="175"/>
      <c r="I3" s="175"/>
      <c r="J3" s="175"/>
      <c r="K3" s="175"/>
      <c r="L3" s="175"/>
      <c r="M3" s="175"/>
    </row>
    <row r="4" spans="1:19" ht="77.45" customHeight="1">
      <c r="A4" s="196" t="s">
        <v>354</v>
      </c>
      <c r="B4" s="196"/>
      <c r="C4" s="196"/>
      <c r="D4" s="196"/>
      <c r="E4" s="196"/>
      <c r="F4" s="196"/>
      <c r="G4" s="196"/>
      <c r="H4" s="196"/>
      <c r="I4" s="196"/>
      <c r="J4" s="196"/>
      <c r="K4" s="196"/>
      <c r="L4" s="196"/>
      <c r="M4" s="196"/>
    </row>
    <row r="5" spans="1:19">
      <c r="A5" s="187" t="s">
        <v>74</v>
      </c>
      <c r="B5" s="187"/>
      <c r="C5" s="187"/>
      <c r="D5" s="187"/>
      <c r="E5" s="187"/>
      <c r="F5" s="187"/>
      <c r="G5" s="187"/>
      <c r="H5" s="187"/>
      <c r="I5" s="187"/>
      <c r="J5" s="187"/>
      <c r="K5" s="187"/>
      <c r="L5" s="187"/>
      <c r="M5" s="187"/>
    </row>
    <row r="6" spans="1:19">
      <c r="A6" s="72" t="s">
        <v>75</v>
      </c>
      <c r="B6" s="198" t="s">
        <v>76</v>
      </c>
      <c r="C6" s="198"/>
      <c r="D6" s="184" t="s">
        <v>77</v>
      </c>
      <c r="E6" s="184"/>
      <c r="F6" s="185" t="s">
        <v>78</v>
      </c>
      <c r="G6" s="185"/>
      <c r="H6" s="185"/>
      <c r="I6" s="185"/>
      <c r="J6" s="185"/>
      <c r="K6" s="185"/>
      <c r="L6" s="185"/>
      <c r="M6" s="1" t="s">
        <v>128</v>
      </c>
    </row>
    <row r="7" spans="1:19" ht="197.45" customHeight="1">
      <c r="A7" s="3" t="s">
        <v>329</v>
      </c>
      <c r="B7" s="177" t="s">
        <v>355</v>
      </c>
      <c r="C7" s="177"/>
      <c r="D7" s="195">
        <f>0.24*0.2</f>
        <v>4.8000000000000001E-2</v>
      </c>
      <c r="E7" s="195"/>
      <c r="F7" s="294" t="s">
        <v>356</v>
      </c>
      <c r="G7" s="176"/>
      <c r="H7" s="176"/>
      <c r="I7" s="176"/>
      <c r="J7" s="176"/>
      <c r="K7" s="176"/>
      <c r="L7" s="176"/>
      <c r="M7" s="43" t="s">
        <v>357</v>
      </c>
      <c r="N7" s="42"/>
      <c r="O7" s="40"/>
    </row>
    <row r="8" spans="1:19" ht="97.5" customHeight="1">
      <c r="A8" s="3" t="s">
        <v>240</v>
      </c>
      <c r="B8" s="177" t="s">
        <v>195</v>
      </c>
      <c r="C8" s="177"/>
      <c r="D8" s="195">
        <v>4.4999999999999998E-2</v>
      </c>
      <c r="E8" s="195"/>
      <c r="F8" s="298" t="s">
        <v>358</v>
      </c>
      <c r="G8" s="298"/>
      <c r="H8" s="298"/>
      <c r="I8" s="298"/>
      <c r="J8" s="298"/>
      <c r="K8" s="298"/>
      <c r="L8" s="298"/>
      <c r="M8" s="43" t="s">
        <v>359</v>
      </c>
      <c r="O8" s="40"/>
      <c r="P8" s="37"/>
    </row>
    <row r="9" spans="1:19">
      <c r="A9" s="175" t="s">
        <v>85</v>
      </c>
      <c r="B9" s="175"/>
      <c r="C9" s="175"/>
      <c r="D9" s="175"/>
      <c r="E9" s="175"/>
      <c r="F9" s="175"/>
      <c r="G9" s="175"/>
      <c r="H9" s="175"/>
      <c r="I9" s="175"/>
      <c r="J9" s="175"/>
      <c r="K9" s="175"/>
      <c r="L9" s="175"/>
      <c r="M9" s="175"/>
    </row>
    <row r="10" spans="1:19">
      <c r="A10" s="31" t="s">
        <v>75</v>
      </c>
      <c r="B10" s="31" t="s">
        <v>76</v>
      </c>
      <c r="C10" s="31" t="s">
        <v>38</v>
      </c>
      <c r="D10" s="31" t="s">
        <v>39</v>
      </c>
      <c r="E10" s="32" t="s">
        <v>40</v>
      </c>
      <c r="F10" s="185" t="s">
        <v>78</v>
      </c>
      <c r="G10" s="185"/>
      <c r="H10" s="185"/>
      <c r="I10" s="185"/>
      <c r="J10" s="185"/>
      <c r="K10" s="185"/>
      <c r="L10" s="185"/>
      <c r="M10" s="1" t="s">
        <v>79</v>
      </c>
    </row>
    <row r="11" spans="1:19">
      <c r="A11" s="3" t="s">
        <v>86</v>
      </c>
      <c r="B11" s="3" t="s">
        <v>87</v>
      </c>
      <c r="C11" s="59"/>
      <c r="D11" s="59"/>
      <c r="E11" s="59">
        <v>50</v>
      </c>
      <c r="F11" s="207" t="s">
        <v>88</v>
      </c>
      <c r="G11" s="177"/>
      <c r="H11" s="177"/>
      <c r="I11" s="177"/>
      <c r="J11" s="177"/>
      <c r="K11" s="177"/>
      <c r="L11" s="177"/>
      <c r="M11" s="3"/>
      <c r="N11" s="42"/>
    </row>
    <row r="12" spans="1:19" ht="138.94999999999999" customHeight="1">
      <c r="A12" s="3" t="s">
        <v>130</v>
      </c>
      <c r="B12" s="3" t="s">
        <v>196</v>
      </c>
      <c r="C12" s="51">
        <f>1000/10000</f>
        <v>0.1</v>
      </c>
      <c r="D12" s="51">
        <f>2666/10000</f>
        <v>0.2666</v>
      </c>
      <c r="E12" s="51">
        <f>AVERAGE(C12:D12)</f>
        <v>0.18330000000000002</v>
      </c>
      <c r="F12" s="299" t="s">
        <v>360</v>
      </c>
      <c r="G12" s="213"/>
      <c r="H12" s="213"/>
      <c r="I12" s="213"/>
      <c r="J12" s="213"/>
      <c r="K12" s="213"/>
      <c r="L12" s="213"/>
      <c r="M12" s="13" t="s">
        <v>361</v>
      </c>
      <c r="O12" s="42"/>
    </row>
    <row r="13" spans="1:19" ht="53.1" customHeight="1">
      <c r="A13" s="3" t="s">
        <v>133</v>
      </c>
      <c r="B13" s="3" t="s">
        <v>196</v>
      </c>
      <c r="C13" s="88">
        <f>0.01*C12</f>
        <v>1E-3</v>
      </c>
      <c r="D13" s="82">
        <f t="shared" ref="D13:E13" si="0">0.01*D12</f>
        <v>2.666E-3</v>
      </c>
      <c r="E13" s="82">
        <f t="shared" si="0"/>
        <v>1.8330000000000002E-3</v>
      </c>
      <c r="F13" s="192" t="s">
        <v>153</v>
      </c>
      <c r="G13" s="216"/>
      <c r="H13" s="216"/>
      <c r="I13" s="216"/>
      <c r="J13" s="216"/>
      <c r="K13" s="216"/>
      <c r="L13" s="217"/>
      <c r="M13" s="34"/>
      <c r="N13" s="30"/>
      <c r="O13" s="99"/>
      <c r="P13" s="30"/>
      <c r="Q13" s="30"/>
      <c r="R13" s="30"/>
      <c r="S13" s="30"/>
    </row>
    <row r="14" spans="1:19" ht="29.1" customHeight="1">
      <c r="A14" s="3" t="s">
        <v>96</v>
      </c>
      <c r="B14" s="3" t="s">
        <v>196</v>
      </c>
      <c r="C14" s="82">
        <f>(-PMT('Parameters &amp; assumpties'!$B$8, $E11,C12))+$C13</f>
        <v>4.1823209703696577E-3</v>
      </c>
      <c r="D14" s="82">
        <f>(-PMT('Parameters &amp; assumpties'!$B$8, $E11,D12))+$D13</f>
        <v>1.1150067707005506E-2</v>
      </c>
      <c r="E14" s="82">
        <f>(-PMT('Parameters &amp; assumpties'!$B$8, $E11,E12))+$E13</f>
        <v>7.6661943386875826E-3</v>
      </c>
      <c r="F14" s="210"/>
      <c r="G14" s="210"/>
      <c r="H14" s="210"/>
      <c r="I14" s="210"/>
      <c r="J14" s="210"/>
      <c r="K14" s="210"/>
      <c r="L14" s="210"/>
      <c r="M14" s="14"/>
      <c r="O14" s="30"/>
      <c r="P14" s="30"/>
    </row>
    <row r="15" spans="1:19">
      <c r="A15" s="74" t="s">
        <v>97</v>
      </c>
      <c r="B15" s="74"/>
      <c r="C15" s="79"/>
      <c r="D15" s="79"/>
      <c r="E15" s="79"/>
      <c r="F15" s="204"/>
      <c r="G15" s="205"/>
      <c r="H15" s="205"/>
      <c r="I15" s="205"/>
      <c r="J15" s="205"/>
      <c r="K15" s="205"/>
      <c r="L15" s="206"/>
      <c r="M15" s="74"/>
      <c r="O15" s="30"/>
      <c r="P15" s="30"/>
    </row>
    <row r="16" spans="1:19" ht="14.45" customHeight="1">
      <c r="A16" s="31" t="s">
        <v>75</v>
      </c>
      <c r="B16" s="31" t="s">
        <v>76</v>
      </c>
      <c r="C16" s="31" t="s">
        <v>38</v>
      </c>
      <c r="D16" s="31" t="s">
        <v>39</v>
      </c>
      <c r="E16" s="1" t="s">
        <v>40</v>
      </c>
      <c r="F16" s="178" t="s">
        <v>98</v>
      </c>
      <c r="G16" s="178"/>
      <c r="H16" s="178"/>
      <c r="I16" s="178"/>
      <c r="J16" s="178"/>
      <c r="K16" s="178"/>
      <c r="L16" s="178"/>
      <c r="M16" s="1"/>
      <c r="O16" s="30"/>
      <c r="P16" s="30"/>
    </row>
    <row r="17" spans="1:18" ht="43.5">
      <c r="A17" s="3" t="s">
        <v>336</v>
      </c>
      <c r="B17" s="3" t="s">
        <v>337</v>
      </c>
      <c r="C17" s="82">
        <f>C14/$D$7</f>
        <v>8.7131686882701204E-2</v>
      </c>
      <c r="D17" s="82">
        <f t="shared" ref="D17:E17" si="1">D14/$D$7</f>
        <v>0.23229307722928136</v>
      </c>
      <c r="E17" s="82">
        <f t="shared" si="1"/>
        <v>0.15971238205599131</v>
      </c>
      <c r="F17" s="211"/>
      <c r="G17" s="211"/>
      <c r="H17" s="211"/>
      <c r="I17" s="211"/>
      <c r="J17" s="211"/>
      <c r="K17" s="211"/>
      <c r="L17" s="211"/>
      <c r="M17" s="15"/>
      <c r="O17" s="30"/>
      <c r="P17" s="30"/>
    </row>
    <row r="18" spans="1:18" ht="29.1">
      <c r="A18" s="3" t="s">
        <v>362</v>
      </c>
      <c r="B18" s="3" t="s">
        <v>363</v>
      </c>
      <c r="C18" s="82">
        <f>C14/$D$8</f>
        <v>9.2940466008214623E-2</v>
      </c>
      <c r="D18" s="82">
        <f t="shared" ref="D18:E18" si="2">D14/$D$8</f>
        <v>0.24777928237790015</v>
      </c>
      <c r="E18" s="82">
        <f t="shared" si="2"/>
        <v>0.1703598741930574</v>
      </c>
      <c r="F18" s="211"/>
      <c r="G18" s="211"/>
      <c r="H18" s="211"/>
      <c r="I18" s="211"/>
      <c r="J18" s="211"/>
      <c r="K18" s="211"/>
      <c r="L18" s="211"/>
      <c r="M18" s="15"/>
      <c r="O18" s="30"/>
      <c r="P18" s="30"/>
    </row>
    <row r="19" spans="1:18">
      <c r="A19" s="175" t="s">
        <v>105</v>
      </c>
      <c r="B19" s="175"/>
      <c r="C19" s="175"/>
      <c r="D19" s="175"/>
      <c r="E19" s="175"/>
      <c r="F19" s="175"/>
      <c r="G19" s="175"/>
      <c r="H19" s="175"/>
      <c r="I19" s="175"/>
      <c r="J19" s="175"/>
      <c r="K19" s="175"/>
      <c r="L19" s="175"/>
      <c r="M19" s="175"/>
      <c r="O19" s="30"/>
      <c r="P19" s="30"/>
    </row>
    <row r="20" spans="1:18" ht="90.95" customHeight="1">
      <c r="A20" s="196" t="s">
        <v>364</v>
      </c>
      <c r="B20" s="196"/>
      <c r="C20" s="196"/>
      <c r="D20" s="196"/>
      <c r="E20" s="196"/>
      <c r="F20" s="196"/>
      <c r="G20" s="196"/>
      <c r="H20" s="196"/>
      <c r="I20" s="196"/>
      <c r="J20" s="196"/>
      <c r="K20" s="196"/>
      <c r="L20" s="196"/>
      <c r="M20" s="196"/>
      <c r="O20" s="30"/>
      <c r="P20" s="30"/>
    </row>
    <row r="21" spans="1:18">
      <c r="A21" s="175" t="s">
        <v>107</v>
      </c>
      <c r="B21" s="175"/>
      <c r="C21" s="175"/>
      <c r="D21" s="175"/>
      <c r="E21" s="175"/>
      <c r="F21" s="175"/>
      <c r="G21" s="175"/>
      <c r="H21" s="175"/>
      <c r="I21" s="175"/>
      <c r="J21" s="175"/>
      <c r="K21" s="175"/>
      <c r="L21" s="175"/>
      <c r="M21" s="175"/>
      <c r="O21" s="30"/>
      <c r="P21" s="30"/>
    </row>
    <row r="22" spans="1:18">
      <c r="A22" s="75" t="s">
        <v>108</v>
      </c>
      <c r="B22" s="76" t="s">
        <v>109</v>
      </c>
      <c r="C22" s="183" t="s">
        <v>110</v>
      </c>
      <c r="D22" s="183"/>
      <c r="E22" s="183"/>
      <c r="F22" s="183"/>
      <c r="G22" s="183"/>
      <c r="H22" s="183"/>
      <c r="I22" s="183"/>
      <c r="J22" s="183"/>
      <c r="K22" s="183"/>
      <c r="L22" s="183"/>
      <c r="M22" s="47" t="s">
        <v>78</v>
      </c>
      <c r="O22" s="30"/>
      <c r="P22" s="30"/>
    </row>
    <row r="23" spans="1:18" ht="14.45" customHeight="1">
      <c r="A23" s="3" t="s">
        <v>365</v>
      </c>
      <c r="B23" s="5" t="s">
        <v>112</v>
      </c>
      <c r="C23" s="177" t="s">
        <v>366</v>
      </c>
      <c r="D23" s="177"/>
      <c r="E23" s="177"/>
      <c r="F23" s="177"/>
      <c r="G23" s="177"/>
      <c r="H23" s="177"/>
      <c r="I23" s="177"/>
      <c r="J23" s="177"/>
      <c r="K23" s="177"/>
      <c r="L23" s="177"/>
      <c r="M23" s="55" t="s">
        <v>367</v>
      </c>
      <c r="R23" s="29"/>
    </row>
    <row r="24" spans="1:18" ht="14.45" customHeight="1">
      <c r="A24" s="3" t="s">
        <v>368</v>
      </c>
      <c r="B24" s="5" t="s">
        <v>112</v>
      </c>
      <c r="C24" s="177" t="s">
        <v>369</v>
      </c>
      <c r="D24" s="177"/>
      <c r="E24" s="177"/>
      <c r="F24" s="177"/>
      <c r="G24" s="177"/>
      <c r="H24" s="177"/>
      <c r="I24" s="177"/>
      <c r="J24" s="177"/>
      <c r="K24" s="177"/>
      <c r="L24" s="177"/>
      <c r="M24" s="55" t="s">
        <v>370</v>
      </c>
      <c r="R24" s="29"/>
    </row>
    <row r="25" spans="1:18" ht="14.45" customHeight="1">
      <c r="A25" s="3" t="s">
        <v>371</v>
      </c>
      <c r="B25" s="5" t="s">
        <v>112</v>
      </c>
      <c r="C25" s="218" t="s">
        <v>372</v>
      </c>
      <c r="D25" s="219"/>
      <c r="E25" s="219"/>
      <c r="F25" s="219"/>
      <c r="G25" s="219"/>
      <c r="H25" s="219"/>
      <c r="I25" s="219"/>
      <c r="J25" s="219"/>
      <c r="K25" s="219"/>
      <c r="L25" s="220"/>
      <c r="M25" s="55"/>
      <c r="R25" s="29"/>
    </row>
    <row r="26" spans="1:18" ht="14.45" customHeight="1">
      <c r="A26" s="3" t="s">
        <v>120</v>
      </c>
      <c r="B26" s="5" t="s">
        <v>112</v>
      </c>
      <c r="C26" s="177" t="s">
        <v>216</v>
      </c>
      <c r="D26" s="177"/>
      <c r="E26" s="177"/>
      <c r="F26" s="177"/>
      <c r="G26" s="177"/>
      <c r="H26" s="177"/>
      <c r="I26" s="177"/>
      <c r="J26" s="177"/>
      <c r="K26" s="177"/>
      <c r="L26" s="177"/>
      <c r="M26" s="55" t="s">
        <v>367</v>
      </c>
    </row>
  </sheetData>
  <mergeCells count="32">
    <mergeCell ref="B6:C6"/>
    <mergeCell ref="D6:E6"/>
    <mergeCell ref="F6:L6"/>
    <mergeCell ref="A1:M1"/>
    <mergeCell ref="A2:M2"/>
    <mergeCell ref="A3:M3"/>
    <mergeCell ref="A4:M4"/>
    <mergeCell ref="A5:M5"/>
    <mergeCell ref="C26:L26"/>
    <mergeCell ref="C24:L24"/>
    <mergeCell ref="B7:C7"/>
    <mergeCell ref="D7:E7"/>
    <mergeCell ref="F7:L7"/>
    <mergeCell ref="A9:M9"/>
    <mergeCell ref="F10:L10"/>
    <mergeCell ref="B8:C8"/>
    <mergeCell ref="D8:E8"/>
    <mergeCell ref="F8:L8"/>
    <mergeCell ref="F11:L11"/>
    <mergeCell ref="F12:L12"/>
    <mergeCell ref="F13:L13"/>
    <mergeCell ref="F14:L14"/>
    <mergeCell ref="F16:L16"/>
    <mergeCell ref="F15:L15"/>
    <mergeCell ref="C25:L25"/>
    <mergeCell ref="A19:M19"/>
    <mergeCell ref="F17:L17"/>
    <mergeCell ref="F18:L18"/>
    <mergeCell ref="A20:M20"/>
    <mergeCell ref="A21:M21"/>
    <mergeCell ref="C22:L22"/>
    <mergeCell ref="C23:L23"/>
  </mergeCells>
  <hyperlinks>
    <hyperlink ref="M23" r:id="rId1" display="https://www.boerennatuur.be/pdf/Factsheets/20211022_PGD.pdf" xr:uid="{7A265E2F-F1FF-4E28-BF3D-2C56899BCF6D}"/>
    <hyperlink ref="M26" r:id="rId2" display="https://www.boerennatuur.be/pdf/Factsheets/20211022_PGD.pdf" xr:uid="{1DFE1318-B742-4391-BFF9-FA956A337438}"/>
    <hyperlink ref="F12" r:id="rId3" display="https://www.boerennatuur.be/pdf/Factsheets/20211022_PGD.pdf" xr:uid="{D0F079A0-E6DB-4BD9-9706-27BE9E3FE483}"/>
    <hyperlink ref="M24" r:id="rId4" xr:uid="{1D74DBB9-B612-4C1B-A56A-E430203D62E0}"/>
    <hyperlink ref="F8" r:id="rId5" xr:uid="{77806799-FD3B-4C33-8087-3187D997EE9E}"/>
    <hyperlink ref="F7" r:id="rId6" xr:uid="{EDE5D1D3-463F-4CAB-B72C-EFE15F698DB3}"/>
  </hyperlinks>
  <pageMargins left="0.7" right="0.7" top="0.75" bottom="0.75" header="0.3" footer="0.3"/>
  <pageSetup paperSize="9"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1109-BDC1-4C31-B816-399702E8344E}">
  <sheetPr>
    <tabColor rgb="FFD0FBE3"/>
  </sheetPr>
  <dimension ref="A1:S27"/>
  <sheetViews>
    <sheetView topLeftCell="A19" zoomScaleNormal="100" workbookViewId="0">
      <selection activeCell="M22" sqref="M22"/>
    </sheetView>
  </sheetViews>
  <sheetFormatPr defaultColWidth="8.85546875" defaultRowHeight="14.45"/>
  <cols>
    <col min="1" max="1" width="24.140625" customWidth="1"/>
    <col min="2" max="2" width="17.5703125" customWidth="1"/>
    <col min="3" max="3" width="11.5703125" customWidth="1"/>
    <col min="4" max="5" width="12.5703125" customWidth="1"/>
    <col min="13" max="13" width="39.140625" customWidth="1"/>
    <col min="16" max="16" width="41.42578125" customWidth="1"/>
  </cols>
  <sheetData>
    <row r="1" spans="1:19" ht="18.600000000000001">
      <c r="A1" s="186" t="s">
        <v>373</v>
      </c>
      <c r="B1" s="186"/>
      <c r="C1" s="186"/>
      <c r="D1" s="186"/>
      <c r="E1" s="186"/>
      <c r="F1" s="186"/>
      <c r="G1" s="186"/>
      <c r="H1" s="186"/>
      <c r="I1" s="186"/>
      <c r="J1" s="186"/>
      <c r="K1" s="186"/>
      <c r="L1" s="186"/>
      <c r="M1" s="186"/>
    </row>
    <row r="2" spans="1:19" ht="15.6">
      <c r="A2" s="197"/>
      <c r="B2" s="197"/>
      <c r="C2" s="197"/>
      <c r="D2" s="197"/>
      <c r="E2" s="197"/>
      <c r="F2" s="197"/>
      <c r="G2" s="197"/>
      <c r="H2" s="197"/>
      <c r="I2" s="197"/>
      <c r="J2" s="197"/>
      <c r="K2" s="197"/>
      <c r="L2" s="197"/>
      <c r="M2" s="197"/>
    </row>
    <row r="3" spans="1:19">
      <c r="A3" s="175" t="s">
        <v>72</v>
      </c>
      <c r="B3" s="175"/>
      <c r="C3" s="175"/>
      <c r="D3" s="175"/>
      <c r="E3" s="175"/>
      <c r="F3" s="175"/>
      <c r="G3" s="175"/>
      <c r="H3" s="175"/>
      <c r="I3" s="175"/>
      <c r="J3" s="175"/>
      <c r="K3" s="175"/>
      <c r="L3" s="175"/>
      <c r="M3" s="175"/>
    </row>
    <row r="4" spans="1:19" ht="77.45" customHeight="1">
      <c r="A4" s="196" t="s">
        <v>374</v>
      </c>
      <c r="B4" s="196"/>
      <c r="C4" s="196"/>
      <c r="D4" s="196"/>
      <c r="E4" s="196"/>
      <c r="F4" s="196"/>
      <c r="G4" s="196"/>
      <c r="H4" s="196"/>
      <c r="I4" s="196"/>
      <c r="J4" s="196"/>
      <c r="K4" s="196"/>
      <c r="L4" s="196"/>
      <c r="M4" s="196"/>
    </row>
    <row r="5" spans="1:19">
      <c r="A5" s="187" t="s">
        <v>74</v>
      </c>
      <c r="B5" s="187"/>
      <c r="C5" s="187"/>
      <c r="D5" s="187"/>
      <c r="E5" s="187"/>
      <c r="F5" s="187"/>
      <c r="G5" s="187"/>
      <c r="H5" s="187"/>
      <c r="I5" s="187"/>
      <c r="J5" s="187"/>
      <c r="K5" s="187"/>
      <c r="L5" s="187"/>
      <c r="M5" s="187"/>
    </row>
    <row r="6" spans="1:19">
      <c r="A6" s="72" t="s">
        <v>75</v>
      </c>
      <c r="B6" s="198" t="s">
        <v>76</v>
      </c>
      <c r="C6" s="198"/>
      <c r="D6" s="184" t="s">
        <v>77</v>
      </c>
      <c r="E6" s="184"/>
      <c r="F6" s="185" t="s">
        <v>78</v>
      </c>
      <c r="G6" s="185"/>
      <c r="H6" s="185"/>
      <c r="I6" s="185"/>
      <c r="J6" s="185"/>
      <c r="K6" s="185"/>
      <c r="L6" s="185"/>
      <c r="M6" s="1" t="s">
        <v>128</v>
      </c>
    </row>
    <row r="7" spans="1:19" ht="87">
      <c r="A7" s="3" t="s">
        <v>375</v>
      </c>
      <c r="B7" s="177" t="s">
        <v>376</v>
      </c>
      <c r="C7" s="177"/>
      <c r="D7" s="195">
        <v>370</v>
      </c>
      <c r="E7" s="195"/>
      <c r="F7" s="294" t="s">
        <v>377</v>
      </c>
      <c r="G7" s="176"/>
      <c r="H7" s="176"/>
      <c r="I7" s="176"/>
      <c r="J7" s="176"/>
      <c r="K7" s="176"/>
      <c r="L7" s="176"/>
      <c r="M7" s="15" t="s">
        <v>378</v>
      </c>
      <c r="N7" s="42"/>
    </row>
    <row r="8" spans="1:19" ht="327.60000000000002" customHeight="1">
      <c r="A8" s="3" t="s">
        <v>80</v>
      </c>
      <c r="B8" s="218" t="s">
        <v>379</v>
      </c>
      <c r="C8" s="220"/>
      <c r="D8" s="257">
        <v>36.96</v>
      </c>
      <c r="E8" s="258"/>
      <c r="F8" s="300" t="s">
        <v>380</v>
      </c>
      <c r="G8" s="301"/>
      <c r="H8" s="301"/>
      <c r="I8" s="301"/>
      <c r="J8" s="301"/>
      <c r="K8" s="301"/>
      <c r="L8" s="302"/>
      <c r="M8" s="43" t="s">
        <v>381</v>
      </c>
      <c r="N8" s="42"/>
      <c r="P8" s="40"/>
    </row>
    <row r="9" spans="1:19">
      <c r="A9" s="175" t="s">
        <v>85</v>
      </c>
      <c r="B9" s="175"/>
      <c r="C9" s="175"/>
      <c r="D9" s="175"/>
      <c r="E9" s="175"/>
      <c r="F9" s="175"/>
      <c r="G9" s="175"/>
      <c r="H9" s="175"/>
      <c r="I9" s="175"/>
      <c r="J9" s="175"/>
      <c r="K9" s="175"/>
      <c r="L9" s="175"/>
      <c r="M9" s="175"/>
    </row>
    <row r="10" spans="1:19">
      <c r="A10" s="31" t="s">
        <v>75</v>
      </c>
      <c r="B10" s="31" t="s">
        <v>76</v>
      </c>
      <c r="C10" s="31" t="s">
        <v>38</v>
      </c>
      <c r="D10" s="31" t="s">
        <v>39</v>
      </c>
      <c r="E10" s="32" t="s">
        <v>40</v>
      </c>
      <c r="F10" s="185" t="s">
        <v>78</v>
      </c>
      <c r="G10" s="185"/>
      <c r="H10" s="185"/>
      <c r="I10" s="185"/>
      <c r="J10" s="185"/>
      <c r="K10" s="185"/>
      <c r="L10" s="185"/>
      <c r="M10" s="1" t="s">
        <v>79</v>
      </c>
    </row>
    <row r="11" spans="1:19" ht="29.1">
      <c r="A11" s="3" t="s">
        <v>86</v>
      </c>
      <c r="B11" s="3" t="s">
        <v>87</v>
      </c>
      <c r="C11" s="3"/>
      <c r="D11" s="3"/>
      <c r="E11" s="59">
        <v>5</v>
      </c>
      <c r="F11" s="294" t="s">
        <v>377</v>
      </c>
      <c r="G11" s="176"/>
      <c r="H11" s="176"/>
      <c r="I11" s="176"/>
      <c r="J11" s="176"/>
      <c r="K11" s="176"/>
      <c r="L11" s="176"/>
      <c r="M11" s="3" t="s">
        <v>382</v>
      </c>
    </row>
    <row r="12" spans="1:19" ht="138.94999999999999" customHeight="1">
      <c r="A12" s="3" t="s">
        <v>130</v>
      </c>
      <c r="B12" s="3" t="s">
        <v>383</v>
      </c>
      <c r="C12" s="33"/>
      <c r="D12" s="33"/>
      <c r="E12" s="107">
        <f>25*150</f>
        <v>3750</v>
      </c>
      <c r="F12" s="299" t="s">
        <v>384</v>
      </c>
      <c r="G12" s="213"/>
      <c r="H12" s="213"/>
      <c r="I12" s="213"/>
      <c r="J12" s="213"/>
      <c r="K12" s="213"/>
      <c r="L12" s="213"/>
      <c r="M12" s="13" t="s">
        <v>385</v>
      </c>
    </row>
    <row r="13" spans="1:19" ht="53.1" customHeight="1">
      <c r="A13" s="3" t="s">
        <v>133</v>
      </c>
      <c r="B13" s="3" t="s">
        <v>383</v>
      </c>
      <c r="C13" s="94"/>
      <c r="D13" s="95"/>
      <c r="E13" s="82"/>
      <c r="F13" s="207" t="s">
        <v>386</v>
      </c>
      <c r="G13" s="177"/>
      <c r="H13" s="177"/>
      <c r="I13" s="177"/>
      <c r="J13" s="177"/>
      <c r="K13" s="177"/>
      <c r="L13" s="177"/>
      <c r="M13" s="34"/>
      <c r="N13" s="30"/>
      <c r="O13" s="30"/>
      <c r="P13" s="30"/>
      <c r="Q13" s="30"/>
      <c r="R13" s="30"/>
      <c r="S13" s="30"/>
    </row>
    <row r="14" spans="1:19" ht="29.1" customHeight="1">
      <c r="A14" s="3" t="s">
        <v>96</v>
      </c>
      <c r="B14" s="3" t="s">
        <v>383</v>
      </c>
      <c r="C14" s="95"/>
      <c r="D14" s="95"/>
      <c r="E14" s="54">
        <f>(-PMT('Parameters &amp; assumpties'!$B$8, $E11,E12))</f>
        <v>795.5939778912084</v>
      </c>
      <c r="F14" s="210"/>
      <c r="G14" s="210"/>
      <c r="H14" s="210"/>
      <c r="I14" s="210"/>
      <c r="J14" s="210"/>
      <c r="K14" s="210"/>
      <c r="L14" s="210"/>
      <c r="M14" s="14"/>
      <c r="O14" s="30"/>
      <c r="P14" s="30"/>
    </row>
    <row r="15" spans="1:19">
      <c r="A15" s="201" t="s">
        <v>97</v>
      </c>
      <c r="B15" s="202"/>
      <c r="C15" s="202"/>
      <c r="D15" s="202"/>
      <c r="E15" s="202"/>
      <c r="F15" s="202"/>
      <c r="G15" s="202"/>
      <c r="H15" s="202"/>
      <c r="I15" s="202"/>
      <c r="J15" s="202"/>
      <c r="K15" s="202"/>
      <c r="L15" s="202"/>
      <c r="M15" s="203"/>
      <c r="O15" s="30"/>
      <c r="P15" s="30"/>
    </row>
    <row r="16" spans="1:19" ht="14.45" customHeight="1">
      <c r="A16" s="31" t="s">
        <v>75</v>
      </c>
      <c r="B16" s="31" t="s">
        <v>76</v>
      </c>
      <c r="C16" s="31" t="s">
        <v>38</v>
      </c>
      <c r="D16" s="31" t="s">
        <v>39</v>
      </c>
      <c r="E16" s="1" t="s">
        <v>40</v>
      </c>
      <c r="F16" s="178" t="s">
        <v>98</v>
      </c>
      <c r="G16" s="178"/>
      <c r="H16" s="178"/>
      <c r="I16" s="178"/>
      <c r="J16" s="178"/>
      <c r="K16" s="178"/>
      <c r="L16" s="178"/>
      <c r="M16" s="1"/>
      <c r="O16" s="30"/>
      <c r="P16" s="30"/>
    </row>
    <row r="17" spans="1:16" ht="29.1">
      <c r="A17" s="3" t="s">
        <v>102</v>
      </c>
      <c r="B17" s="3" t="s">
        <v>387</v>
      </c>
      <c r="C17" s="3"/>
      <c r="D17" s="3"/>
      <c r="E17" s="51">
        <f>E14/D8</f>
        <v>21.525811090130098</v>
      </c>
      <c r="F17" s="211"/>
      <c r="G17" s="211"/>
      <c r="H17" s="211"/>
      <c r="I17" s="211"/>
      <c r="J17" s="211"/>
      <c r="K17" s="211"/>
      <c r="L17" s="211"/>
      <c r="M17" s="15"/>
      <c r="O17" s="30"/>
      <c r="P17" s="30"/>
    </row>
    <row r="18" spans="1:16">
      <c r="A18" s="175" t="s">
        <v>105</v>
      </c>
      <c r="B18" s="175"/>
      <c r="C18" s="175"/>
      <c r="D18" s="175"/>
      <c r="E18" s="175"/>
      <c r="F18" s="175"/>
      <c r="G18" s="175"/>
      <c r="H18" s="175"/>
      <c r="I18" s="175"/>
      <c r="J18" s="175"/>
      <c r="K18" s="175"/>
      <c r="L18" s="175"/>
      <c r="M18" s="175"/>
      <c r="O18" s="30"/>
      <c r="P18" s="30"/>
    </row>
    <row r="19" spans="1:16" ht="90.95" customHeight="1">
      <c r="A19" s="196" t="s">
        <v>388</v>
      </c>
      <c r="B19" s="196"/>
      <c r="C19" s="196"/>
      <c r="D19" s="196"/>
      <c r="E19" s="196"/>
      <c r="F19" s="196"/>
      <c r="G19" s="196"/>
      <c r="H19" s="196"/>
      <c r="I19" s="196"/>
      <c r="J19" s="196"/>
      <c r="K19" s="196"/>
      <c r="L19" s="196"/>
      <c r="M19" s="196"/>
      <c r="O19" s="30"/>
      <c r="P19" s="30"/>
    </row>
    <row r="20" spans="1:16">
      <c r="A20" s="175" t="s">
        <v>107</v>
      </c>
      <c r="B20" s="175"/>
      <c r="C20" s="175"/>
      <c r="D20" s="175"/>
      <c r="E20" s="175"/>
      <c r="F20" s="175"/>
      <c r="G20" s="175"/>
      <c r="H20" s="175"/>
      <c r="I20" s="175"/>
      <c r="J20" s="175"/>
      <c r="K20" s="175"/>
      <c r="L20" s="175"/>
      <c r="M20" s="175"/>
      <c r="O20" s="30"/>
      <c r="P20" s="30"/>
    </row>
    <row r="21" spans="1:16">
      <c r="A21" s="75" t="s">
        <v>108</v>
      </c>
      <c r="B21" s="76" t="s">
        <v>109</v>
      </c>
      <c r="C21" s="183" t="s">
        <v>110</v>
      </c>
      <c r="D21" s="183"/>
      <c r="E21" s="183"/>
      <c r="F21" s="183"/>
      <c r="G21" s="183"/>
      <c r="H21" s="183"/>
      <c r="I21" s="183"/>
      <c r="J21" s="183"/>
      <c r="K21" s="183"/>
      <c r="L21" s="183"/>
      <c r="M21" s="47" t="s">
        <v>78</v>
      </c>
      <c r="O21" s="30"/>
      <c r="P21" s="30"/>
    </row>
    <row r="22" spans="1:16">
      <c r="A22" s="58" t="s">
        <v>389</v>
      </c>
      <c r="B22" s="58" t="s">
        <v>112</v>
      </c>
      <c r="C22" s="213" t="s">
        <v>390</v>
      </c>
      <c r="D22" s="213"/>
      <c r="E22" s="213"/>
      <c r="F22" s="213"/>
      <c r="G22" s="213"/>
      <c r="H22" s="213"/>
      <c r="I22" s="213"/>
      <c r="J22" s="213"/>
      <c r="K22" s="213"/>
      <c r="L22" s="253"/>
      <c r="M22" s="46" t="s">
        <v>391</v>
      </c>
    </row>
    <row r="23" spans="1:16">
      <c r="A23" s="58" t="s">
        <v>392</v>
      </c>
      <c r="B23" s="58" t="s">
        <v>112</v>
      </c>
      <c r="C23" s="213" t="s">
        <v>393</v>
      </c>
      <c r="D23" s="213"/>
      <c r="E23" s="213"/>
      <c r="F23" s="213"/>
      <c r="G23" s="213"/>
      <c r="H23" s="213"/>
      <c r="I23" s="213"/>
      <c r="J23" s="213"/>
      <c r="K23" s="213"/>
      <c r="L23" s="253"/>
      <c r="M23" s="46" t="s">
        <v>391</v>
      </c>
    </row>
    <row r="24" spans="1:16">
      <c r="A24" s="58" t="s">
        <v>312</v>
      </c>
      <c r="B24" s="58" t="s">
        <v>112</v>
      </c>
      <c r="C24" s="253" t="s">
        <v>394</v>
      </c>
      <c r="D24" s="254"/>
      <c r="E24" s="254"/>
      <c r="F24" s="254"/>
      <c r="G24" s="254"/>
      <c r="H24" s="254"/>
      <c r="I24" s="254"/>
      <c r="J24" s="254"/>
      <c r="K24" s="254"/>
      <c r="L24" s="254"/>
      <c r="M24" s="46" t="s">
        <v>395</v>
      </c>
    </row>
    <row r="25" spans="1:16">
      <c r="A25" s="58" t="s">
        <v>296</v>
      </c>
      <c r="B25" s="58" t="s">
        <v>112</v>
      </c>
      <c r="C25" s="253" t="s">
        <v>315</v>
      </c>
      <c r="D25" s="254"/>
      <c r="E25" s="254"/>
      <c r="F25" s="254"/>
      <c r="G25" s="254"/>
      <c r="H25" s="254"/>
      <c r="I25" s="254"/>
      <c r="J25" s="254"/>
      <c r="K25" s="254"/>
      <c r="L25" s="254"/>
      <c r="M25" s="131" t="s">
        <v>314</v>
      </c>
    </row>
    <row r="26" spans="1:16">
      <c r="A26" s="58" t="s">
        <v>316</v>
      </c>
      <c r="B26" s="58" t="s">
        <v>112</v>
      </c>
      <c r="C26" s="253" t="s">
        <v>396</v>
      </c>
      <c r="D26" s="254"/>
      <c r="E26" s="254"/>
      <c r="F26" s="254"/>
      <c r="G26" s="254"/>
      <c r="H26" s="254"/>
      <c r="I26" s="254"/>
      <c r="J26" s="254"/>
      <c r="K26" s="254"/>
      <c r="L26" s="254"/>
      <c r="M26" s="131" t="s">
        <v>314</v>
      </c>
    </row>
    <row r="27" spans="1:16">
      <c r="A27" s="58" t="s">
        <v>397</v>
      </c>
      <c r="B27" s="58" t="s">
        <v>112</v>
      </c>
      <c r="C27" s="213" t="s">
        <v>398</v>
      </c>
      <c r="D27" s="213"/>
      <c r="E27" s="213"/>
      <c r="F27" s="213"/>
      <c r="G27" s="213"/>
      <c r="H27" s="213"/>
      <c r="I27" s="213"/>
      <c r="J27" s="213"/>
      <c r="K27" s="213"/>
      <c r="L27" s="253"/>
      <c r="M27" s="46" t="s">
        <v>391</v>
      </c>
    </row>
  </sheetData>
  <mergeCells count="33">
    <mergeCell ref="B8:C8"/>
    <mergeCell ref="D8:E8"/>
    <mergeCell ref="F8:L8"/>
    <mergeCell ref="F11:L11"/>
    <mergeCell ref="A9:M9"/>
    <mergeCell ref="F10:L10"/>
    <mergeCell ref="A1:M1"/>
    <mergeCell ref="A2:M2"/>
    <mergeCell ref="A3:M3"/>
    <mergeCell ref="A4:M4"/>
    <mergeCell ref="A5:M5"/>
    <mergeCell ref="B6:C6"/>
    <mergeCell ref="D6:E6"/>
    <mergeCell ref="F6:L6"/>
    <mergeCell ref="B7:C7"/>
    <mergeCell ref="D7:E7"/>
    <mergeCell ref="F7:L7"/>
    <mergeCell ref="A18:M18"/>
    <mergeCell ref="C22:L22"/>
    <mergeCell ref="C23:L23"/>
    <mergeCell ref="C27:L27"/>
    <mergeCell ref="A15:M15"/>
    <mergeCell ref="C24:L24"/>
    <mergeCell ref="A19:M19"/>
    <mergeCell ref="A20:M20"/>
    <mergeCell ref="C21:L21"/>
    <mergeCell ref="C26:L26"/>
    <mergeCell ref="C25:L25"/>
    <mergeCell ref="F12:L12"/>
    <mergeCell ref="F13:L13"/>
    <mergeCell ref="F14:L14"/>
    <mergeCell ref="F16:L16"/>
    <mergeCell ref="F17:L17"/>
  </mergeCells>
  <hyperlinks>
    <hyperlink ref="M22" r:id="rId1" display="https://www.bdb.be/files/vul201912.pdf" xr:uid="{2F4E9421-AB62-433D-835B-FF568FC6F4B7}"/>
    <hyperlink ref="M23" r:id="rId2" display="https://www.bdb.be/files/vul201912.pdf" xr:uid="{A065820D-0125-4D13-8F2D-C6CC1F140823}"/>
    <hyperlink ref="M27" r:id="rId3" display="https://www.bdb.be/files/vul201912.pdf" xr:uid="{B54B2308-E8DB-445E-BA35-8BDDAEB08B2E}"/>
    <hyperlink ref="M24" r:id="rId4" display="http://www.boerennatuur.be/pdf/2018_Koester-de-koolstof_Eindrapport.pdf" xr:uid="{23F4F489-5AB2-4DCA-A35A-11DDE4899A6D}"/>
    <hyperlink ref="F7" r:id="rId5" xr:uid="{C62F30F0-C2A2-4492-83D9-62CB774BF792}"/>
    <hyperlink ref="F11" r:id="rId6" xr:uid="{58CB252A-17F3-444B-BC2A-7C384ECC026C}"/>
  </hyperlinks>
  <pageMargins left="0.7" right="0.7" top="0.75" bottom="0.75" header="0.3" footer="0.3"/>
  <pageSetup paperSize="9" orientation="portrait"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CBDF-41F3-4620-B4A4-69EF966A7764}">
  <sheetPr>
    <tabColor rgb="FFD0FBE3"/>
  </sheetPr>
  <dimension ref="A1:S23"/>
  <sheetViews>
    <sheetView zoomScaleNormal="100" workbookViewId="0">
      <selection activeCell="F17" sqref="F17:L17"/>
    </sheetView>
  </sheetViews>
  <sheetFormatPr defaultColWidth="8.85546875" defaultRowHeight="14.45"/>
  <cols>
    <col min="1" max="1" width="24.140625" customWidth="1"/>
    <col min="2" max="2" width="17.5703125" customWidth="1"/>
    <col min="3" max="3" width="11.5703125" customWidth="1"/>
    <col min="4" max="5" width="12.5703125" customWidth="1"/>
    <col min="12" max="12" width="2.42578125" customWidth="1"/>
    <col min="13" max="13" width="61.140625" customWidth="1"/>
  </cols>
  <sheetData>
    <row r="1" spans="1:19" ht="18.600000000000001">
      <c r="A1" s="186" t="s">
        <v>399</v>
      </c>
      <c r="B1" s="186"/>
      <c r="C1" s="186"/>
      <c r="D1" s="186"/>
      <c r="E1" s="186"/>
      <c r="F1" s="186"/>
      <c r="G1" s="186"/>
      <c r="H1" s="186"/>
      <c r="I1" s="186"/>
      <c r="J1" s="186"/>
      <c r="K1" s="186"/>
      <c r="L1" s="186"/>
      <c r="M1" s="186"/>
    </row>
    <row r="2" spans="1:19" ht="15.6">
      <c r="A2" s="197"/>
      <c r="B2" s="197"/>
      <c r="C2" s="197"/>
      <c r="D2" s="197"/>
      <c r="E2" s="197"/>
      <c r="F2" s="197"/>
      <c r="G2" s="197"/>
      <c r="H2" s="197"/>
      <c r="I2" s="197"/>
      <c r="J2" s="197"/>
      <c r="K2" s="197"/>
      <c r="L2" s="197"/>
      <c r="M2" s="197"/>
    </row>
    <row r="3" spans="1:19">
      <c r="A3" s="175" t="s">
        <v>72</v>
      </c>
      <c r="B3" s="175"/>
      <c r="C3" s="175"/>
      <c r="D3" s="175"/>
      <c r="E3" s="175"/>
      <c r="F3" s="175"/>
      <c r="G3" s="175"/>
      <c r="H3" s="175"/>
      <c r="I3" s="175"/>
      <c r="J3" s="175"/>
      <c r="K3" s="175"/>
      <c r="L3" s="175"/>
      <c r="M3" s="175"/>
    </row>
    <row r="4" spans="1:19" ht="77.45" customHeight="1">
      <c r="A4" s="196" t="s">
        <v>400</v>
      </c>
      <c r="B4" s="196"/>
      <c r="C4" s="196"/>
      <c r="D4" s="196"/>
      <c r="E4" s="196"/>
      <c r="F4" s="196"/>
      <c r="G4" s="196"/>
      <c r="H4" s="196"/>
      <c r="I4" s="196"/>
      <c r="J4" s="196"/>
      <c r="K4" s="196"/>
      <c r="L4" s="196"/>
      <c r="M4" s="196"/>
    </row>
    <row r="5" spans="1:19">
      <c r="A5" s="187" t="s">
        <v>74</v>
      </c>
      <c r="B5" s="187"/>
      <c r="C5" s="187"/>
      <c r="D5" s="187"/>
      <c r="E5" s="187"/>
      <c r="F5" s="187"/>
      <c r="G5" s="187"/>
      <c r="H5" s="187"/>
      <c r="I5" s="187"/>
      <c r="J5" s="187"/>
      <c r="K5" s="187"/>
      <c r="L5" s="187"/>
      <c r="M5" s="187"/>
    </row>
    <row r="6" spans="1:19">
      <c r="A6" s="72" t="s">
        <v>75</v>
      </c>
      <c r="B6" s="198" t="s">
        <v>76</v>
      </c>
      <c r="C6" s="198"/>
      <c r="D6" s="184" t="s">
        <v>77</v>
      </c>
      <c r="E6" s="184"/>
      <c r="F6" s="185" t="s">
        <v>78</v>
      </c>
      <c r="G6" s="185"/>
      <c r="H6" s="185"/>
      <c r="I6" s="185"/>
      <c r="J6" s="185"/>
      <c r="K6" s="185"/>
      <c r="L6" s="185"/>
      <c r="M6" s="1" t="s">
        <v>128</v>
      </c>
    </row>
    <row r="7" spans="1:19">
      <c r="A7" s="3"/>
      <c r="B7" s="177"/>
      <c r="C7" s="177"/>
      <c r="D7" s="195"/>
      <c r="E7" s="195"/>
      <c r="F7" s="306"/>
      <c r="G7" s="307"/>
      <c r="H7" s="307"/>
      <c r="I7" s="307"/>
      <c r="J7" s="307"/>
      <c r="K7" s="307"/>
      <c r="L7" s="307"/>
      <c r="M7" s="15"/>
    </row>
    <row r="8" spans="1:19">
      <c r="A8" s="175" t="s">
        <v>85</v>
      </c>
      <c r="B8" s="175"/>
      <c r="C8" s="175"/>
      <c r="D8" s="175"/>
      <c r="E8" s="175"/>
      <c r="F8" s="175"/>
      <c r="G8" s="175"/>
      <c r="H8" s="175"/>
      <c r="I8" s="175"/>
      <c r="J8" s="175"/>
      <c r="K8" s="175"/>
      <c r="L8" s="175"/>
      <c r="M8" s="175"/>
    </row>
    <row r="9" spans="1:19">
      <c r="A9" s="31" t="s">
        <v>75</v>
      </c>
      <c r="B9" s="31" t="s">
        <v>76</v>
      </c>
      <c r="C9" s="31" t="s">
        <v>38</v>
      </c>
      <c r="D9" s="31" t="s">
        <v>39</v>
      </c>
      <c r="E9" s="32" t="s">
        <v>40</v>
      </c>
      <c r="F9" s="185" t="s">
        <v>78</v>
      </c>
      <c r="G9" s="185"/>
      <c r="H9" s="185"/>
      <c r="I9" s="185"/>
      <c r="J9" s="185"/>
      <c r="K9" s="185"/>
      <c r="L9" s="185"/>
      <c r="M9" s="1" t="s">
        <v>79</v>
      </c>
    </row>
    <row r="10" spans="1:19">
      <c r="A10" s="3" t="s">
        <v>86</v>
      </c>
      <c r="B10" s="3" t="s">
        <v>87</v>
      </c>
      <c r="C10" s="3"/>
      <c r="D10" s="3"/>
      <c r="E10" s="3">
        <f>'Parameters &amp; assumpties'!B10</f>
        <v>50</v>
      </c>
      <c r="F10" s="207" t="s">
        <v>88</v>
      </c>
      <c r="G10" s="177"/>
      <c r="H10" s="177"/>
      <c r="I10" s="177"/>
      <c r="J10" s="177"/>
      <c r="K10" s="177"/>
      <c r="L10" s="177"/>
      <c r="M10" s="3"/>
    </row>
    <row r="11" spans="1:19" ht="111" customHeight="1">
      <c r="A11" s="3" t="s">
        <v>130</v>
      </c>
      <c r="B11" s="3" t="s">
        <v>149</v>
      </c>
      <c r="C11" s="54">
        <v>14.5</v>
      </c>
      <c r="D11" s="54">
        <v>28.3</v>
      </c>
      <c r="E11" s="54">
        <v>20.9</v>
      </c>
      <c r="F11" s="304" t="s">
        <v>401</v>
      </c>
      <c r="G11" s="305"/>
      <c r="H11" s="305"/>
      <c r="I11" s="305"/>
      <c r="J11" s="305"/>
      <c r="K11" s="305"/>
      <c r="L11" s="305"/>
      <c r="M11" s="43" t="s">
        <v>402</v>
      </c>
      <c r="O11" s="42"/>
    </row>
    <row r="12" spans="1:19" ht="53.1" customHeight="1">
      <c r="A12" s="3" t="s">
        <v>133</v>
      </c>
      <c r="B12" s="3" t="s">
        <v>149</v>
      </c>
      <c r="C12" s="51">
        <f>0.01*C11</f>
        <v>0.14499999999999999</v>
      </c>
      <c r="D12" s="51">
        <f t="shared" ref="D12:E12" si="0">0.01*D11</f>
        <v>0.28300000000000003</v>
      </c>
      <c r="E12" s="51">
        <f t="shared" si="0"/>
        <v>0.20899999999999999</v>
      </c>
      <c r="F12" s="303" t="s">
        <v>403</v>
      </c>
      <c r="G12" s="177"/>
      <c r="H12" s="177"/>
      <c r="I12" s="177"/>
      <c r="J12" s="177"/>
      <c r="K12" s="177"/>
      <c r="L12" s="177"/>
      <c r="M12" s="34" t="s">
        <v>404</v>
      </c>
      <c r="N12" s="30"/>
      <c r="O12" s="30"/>
      <c r="P12" s="30"/>
      <c r="Q12" s="30"/>
      <c r="R12" s="30"/>
      <c r="S12" s="30"/>
    </row>
    <row r="13" spans="1:19" ht="29.1" customHeight="1">
      <c r="A13" s="3" t="s">
        <v>96</v>
      </c>
      <c r="B13" s="3" t="s">
        <v>149</v>
      </c>
      <c r="C13" s="51">
        <f>(-PMT('Parameters &amp; assumpties'!$B$8, $E10,C11))+$C12</f>
        <v>0.6064365407036002</v>
      </c>
      <c r="D13" s="51">
        <f>(-PMT('Parameters &amp; assumpties'!$B$8, $E10,D11))+$D12</f>
        <v>1.1835968346146131</v>
      </c>
      <c r="E13" s="51">
        <f>(-PMT('Parameters &amp; assumpties'!$B$8, $E10,E11))+$E12</f>
        <v>0.87410508280725818</v>
      </c>
      <c r="F13" s="210"/>
      <c r="G13" s="210"/>
      <c r="H13" s="210"/>
      <c r="I13" s="210"/>
      <c r="J13" s="210"/>
      <c r="K13" s="210"/>
      <c r="L13" s="210"/>
      <c r="M13" s="14"/>
      <c r="O13" s="30"/>
      <c r="P13" s="30"/>
    </row>
    <row r="14" spans="1:19">
      <c r="A14" s="74" t="s">
        <v>97</v>
      </c>
      <c r="B14" s="74"/>
      <c r="C14" s="74"/>
      <c r="D14" s="74"/>
      <c r="E14" s="74"/>
      <c r="F14" s="180"/>
      <c r="G14" s="181"/>
      <c r="H14" s="181"/>
      <c r="I14" s="181"/>
      <c r="J14" s="181"/>
      <c r="K14" s="181"/>
      <c r="L14" s="182"/>
      <c r="M14" s="74"/>
      <c r="O14" s="30"/>
      <c r="P14" s="30"/>
    </row>
    <row r="15" spans="1:19" ht="14.45" customHeight="1">
      <c r="A15" s="31" t="s">
        <v>75</v>
      </c>
      <c r="B15" s="31" t="s">
        <v>76</v>
      </c>
      <c r="C15" s="31" t="s">
        <v>38</v>
      </c>
      <c r="D15" s="31" t="s">
        <v>39</v>
      </c>
      <c r="E15" s="1" t="s">
        <v>40</v>
      </c>
      <c r="F15" s="178" t="s">
        <v>98</v>
      </c>
      <c r="G15" s="178"/>
      <c r="H15" s="178"/>
      <c r="I15" s="178"/>
      <c r="J15" s="178"/>
      <c r="K15" s="178"/>
      <c r="L15" s="178"/>
      <c r="M15" s="1"/>
      <c r="O15" s="30"/>
      <c r="P15" s="30"/>
    </row>
    <row r="16" spans="1:19" ht="29.1">
      <c r="A16" s="3" t="s">
        <v>102</v>
      </c>
      <c r="B16" s="3" t="s">
        <v>103</v>
      </c>
      <c r="C16" s="51">
        <f>C13</f>
        <v>0.6064365407036002</v>
      </c>
      <c r="D16" s="51">
        <f t="shared" ref="D16:E16" si="1">D13</f>
        <v>1.1835968346146131</v>
      </c>
      <c r="E16" s="51">
        <f t="shared" si="1"/>
        <v>0.87410508280725818</v>
      </c>
      <c r="F16" s="177"/>
      <c r="G16" s="177"/>
      <c r="H16" s="177"/>
      <c r="I16" s="177"/>
      <c r="J16" s="177"/>
      <c r="K16" s="177"/>
      <c r="L16" s="177"/>
      <c r="M16" s="15"/>
      <c r="O16" s="30"/>
      <c r="P16" s="30"/>
    </row>
    <row r="17" spans="1:16" ht="49.5" customHeight="1">
      <c r="A17" s="3" t="s">
        <v>362</v>
      </c>
      <c r="B17" s="3" t="s">
        <v>405</v>
      </c>
      <c r="C17" s="51">
        <f>C13</f>
        <v>0.6064365407036002</v>
      </c>
      <c r="D17" s="51">
        <f t="shared" ref="D17:E17" si="2">D13</f>
        <v>1.1835968346146131</v>
      </c>
      <c r="E17" s="51">
        <f t="shared" si="2"/>
        <v>0.87410508280725818</v>
      </c>
      <c r="F17" s="218" t="s">
        <v>406</v>
      </c>
      <c r="G17" s="219"/>
      <c r="H17" s="219"/>
      <c r="I17" s="219"/>
      <c r="J17" s="219"/>
      <c r="K17" s="219"/>
      <c r="L17" s="220"/>
      <c r="M17" s="15"/>
      <c r="O17" s="30"/>
      <c r="P17" s="30"/>
    </row>
    <row r="18" spans="1:16">
      <c r="A18" s="175" t="s">
        <v>105</v>
      </c>
      <c r="B18" s="175"/>
      <c r="C18" s="175"/>
      <c r="D18" s="175"/>
      <c r="E18" s="175"/>
      <c r="F18" s="175"/>
      <c r="G18" s="175"/>
      <c r="H18" s="175"/>
      <c r="I18" s="175"/>
      <c r="J18" s="175"/>
      <c r="K18" s="175"/>
      <c r="L18" s="175"/>
      <c r="M18" s="175"/>
      <c r="O18" s="30"/>
      <c r="P18" s="30"/>
    </row>
    <row r="19" spans="1:16" ht="28.35" customHeight="1">
      <c r="A19" s="196"/>
      <c r="B19" s="196"/>
      <c r="C19" s="196"/>
      <c r="D19" s="196"/>
      <c r="E19" s="196"/>
      <c r="F19" s="196"/>
      <c r="G19" s="196"/>
      <c r="H19" s="196"/>
      <c r="I19" s="196"/>
      <c r="J19" s="196"/>
      <c r="K19" s="196"/>
      <c r="L19" s="196"/>
      <c r="M19" s="196"/>
      <c r="O19" s="30"/>
      <c r="P19" s="30"/>
    </row>
    <row r="20" spans="1:16">
      <c r="A20" s="175" t="s">
        <v>107</v>
      </c>
      <c r="B20" s="175"/>
      <c r="C20" s="175"/>
      <c r="D20" s="175"/>
      <c r="E20" s="175"/>
      <c r="F20" s="175"/>
      <c r="G20" s="175"/>
      <c r="H20" s="175"/>
      <c r="I20" s="175"/>
      <c r="J20" s="175"/>
      <c r="K20" s="175"/>
      <c r="L20" s="175"/>
      <c r="M20" s="175"/>
      <c r="O20" s="30"/>
      <c r="P20" s="30"/>
    </row>
    <row r="21" spans="1:16">
      <c r="A21" s="75" t="s">
        <v>108</v>
      </c>
      <c r="B21" s="76" t="s">
        <v>109</v>
      </c>
      <c r="C21" s="183" t="s">
        <v>110</v>
      </c>
      <c r="D21" s="183"/>
      <c r="E21" s="183"/>
      <c r="F21" s="183"/>
      <c r="G21" s="183"/>
      <c r="H21" s="183"/>
      <c r="I21" s="183"/>
      <c r="J21" s="183"/>
      <c r="K21" s="183"/>
      <c r="L21" s="183"/>
      <c r="M21" s="47" t="s">
        <v>78</v>
      </c>
      <c r="O21" s="30"/>
      <c r="P21" s="30"/>
    </row>
    <row r="22" spans="1:16" ht="14.45" customHeight="1">
      <c r="A22" s="3" t="s">
        <v>407</v>
      </c>
      <c r="B22" s="5" t="s">
        <v>112</v>
      </c>
      <c r="C22" s="218" t="s">
        <v>408</v>
      </c>
      <c r="D22" s="219"/>
      <c r="E22" s="219"/>
      <c r="F22" s="219"/>
      <c r="G22" s="219"/>
      <c r="H22" s="219"/>
      <c r="I22" s="219"/>
      <c r="J22" s="219"/>
      <c r="K22" s="219"/>
      <c r="L22" s="220"/>
      <c r="M22" s="77" t="s">
        <v>409</v>
      </c>
      <c r="O22" s="30"/>
      <c r="P22" s="30"/>
    </row>
    <row r="23" spans="1:16" ht="14.45" customHeight="1">
      <c r="A23" s="3" t="s">
        <v>120</v>
      </c>
      <c r="B23" s="5" t="s">
        <v>112</v>
      </c>
      <c r="C23" s="177" t="s">
        <v>216</v>
      </c>
      <c r="D23" s="177"/>
      <c r="E23" s="177"/>
      <c r="F23" s="177"/>
      <c r="G23" s="177"/>
      <c r="H23" s="177"/>
      <c r="I23" s="177"/>
      <c r="J23" s="177"/>
      <c r="K23" s="177"/>
      <c r="L23" s="177"/>
      <c r="M23" s="77"/>
      <c r="O23" s="30"/>
      <c r="P23" s="30"/>
    </row>
  </sheetData>
  <mergeCells count="27">
    <mergeCell ref="F11:L11"/>
    <mergeCell ref="B7:C7"/>
    <mergeCell ref="D7:E7"/>
    <mergeCell ref="F7:L7"/>
    <mergeCell ref="A1:M1"/>
    <mergeCell ref="A2:M2"/>
    <mergeCell ref="A3:M3"/>
    <mergeCell ref="A4:M4"/>
    <mergeCell ref="A5:M5"/>
    <mergeCell ref="B6:C6"/>
    <mergeCell ref="D6:E6"/>
    <mergeCell ref="F6:L6"/>
    <mergeCell ref="A8:M8"/>
    <mergeCell ref="F9:L9"/>
    <mergeCell ref="F10:L10"/>
    <mergeCell ref="F12:L12"/>
    <mergeCell ref="C21:L21"/>
    <mergeCell ref="C23:L23"/>
    <mergeCell ref="F15:L15"/>
    <mergeCell ref="F16:L16"/>
    <mergeCell ref="A18:M18"/>
    <mergeCell ref="A19:M19"/>
    <mergeCell ref="A20:M20"/>
    <mergeCell ref="F13:L13"/>
    <mergeCell ref="F14:L14"/>
    <mergeCell ref="F17:L17"/>
    <mergeCell ref="C22:L2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E2A21-404C-4687-956A-DD69767C975B}">
  <sheetPr>
    <tabColor rgb="FFD0FBE3"/>
  </sheetPr>
  <dimension ref="A1:S23"/>
  <sheetViews>
    <sheetView topLeftCell="A7" zoomScaleNormal="100" workbookViewId="0">
      <selection activeCell="A18" sqref="A18:M18"/>
    </sheetView>
  </sheetViews>
  <sheetFormatPr defaultColWidth="8.85546875" defaultRowHeight="14.45"/>
  <cols>
    <col min="1" max="1" width="24.140625" customWidth="1"/>
    <col min="2" max="2" width="17.5703125" customWidth="1"/>
    <col min="3" max="3" width="11.5703125" customWidth="1"/>
    <col min="4" max="5" width="12.5703125" customWidth="1"/>
    <col min="11" max="11" width="3.5703125" customWidth="1"/>
    <col min="12" max="12" width="8.85546875" hidden="1" customWidth="1"/>
    <col min="13" max="13" width="63.140625" customWidth="1"/>
  </cols>
  <sheetData>
    <row r="1" spans="1:19" ht="18.600000000000001">
      <c r="A1" s="237" t="s">
        <v>410</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77.45" customHeight="1">
      <c r="A4" s="218" t="s">
        <v>411</v>
      </c>
      <c r="B4" s="219"/>
      <c r="C4" s="219"/>
      <c r="D4" s="219"/>
      <c r="E4" s="219"/>
      <c r="F4" s="219"/>
      <c r="G4" s="219"/>
      <c r="H4" s="219"/>
      <c r="I4" s="219"/>
      <c r="J4" s="219"/>
      <c r="K4" s="219"/>
      <c r="L4" s="219"/>
      <c r="M4" s="220"/>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ht="222" customHeight="1">
      <c r="A7" s="3" t="s">
        <v>240</v>
      </c>
      <c r="B7" s="218" t="s">
        <v>195</v>
      </c>
      <c r="C7" s="219"/>
      <c r="D7" s="308">
        <v>2.9000000000000001E-2</v>
      </c>
      <c r="E7" s="308"/>
      <c r="F7" s="309" t="s">
        <v>412</v>
      </c>
      <c r="G7" s="289"/>
      <c r="H7" s="289"/>
      <c r="I7" s="289"/>
      <c r="J7" s="289"/>
      <c r="K7" s="289"/>
      <c r="L7" s="290"/>
      <c r="M7" s="43" t="s">
        <v>413</v>
      </c>
      <c r="N7" s="42"/>
    </row>
    <row r="8" spans="1:19">
      <c r="A8" s="221" t="s">
        <v>85</v>
      </c>
      <c r="B8" s="221"/>
      <c r="C8" s="221"/>
      <c r="D8" s="221"/>
      <c r="E8" s="221"/>
      <c r="F8" s="221"/>
      <c r="G8" s="221"/>
      <c r="H8" s="221"/>
      <c r="I8" s="221"/>
      <c r="J8" s="221"/>
      <c r="K8" s="221"/>
      <c r="L8" s="221"/>
      <c r="M8" s="222"/>
    </row>
    <row r="9" spans="1:19">
      <c r="A9" s="31" t="s">
        <v>75</v>
      </c>
      <c r="B9" s="31" t="s">
        <v>76</v>
      </c>
      <c r="C9" s="31" t="s">
        <v>38</v>
      </c>
      <c r="D9" s="31" t="s">
        <v>39</v>
      </c>
      <c r="E9" s="32" t="s">
        <v>40</v>
      </c>
      <c r="F9" s="247" t="s">
        <v>78</v>
      </c>
      <c r="G9" s="248"/>
      <c r="H9" s="248"/>
      <c r="I9" s="248"/>
      <c r="J9" s="248"/>
      <c r="K9" s="248"/>
      <c r="L9" s="248"/>
      <c r="M9" s="1" t="s">
        <v>79</v>
      </c>
    </row>
    <row r="10" spans="1:19">
      <c r="A10" s="3" t="s">
        <v>86</v>
      </c>
      <c r="B10" s="3" t="s">
        <v>87</v>
      </c>
      <c r="C10" s="52">
        <v>15</v>
      </c>
      <c r="D10" s="52">
        <v>20</v>
      </c>
      <c r="E10" s="52">
        <f>AVERAGE(C10:D10)</f>
        <v>17.5</v>
      </c>
      <c r="F10" s="263" t="s">
        <v>414</v>
      </c>
      <c r="G10" s="219"/>
      <c r="H10" s="219"/>
      <c r="I10" s="219"/>
      <c r="J10" s="219"/>
      <c r="K10" s="219"/>
      <c r="L10" s="219"/>
      <c r="M10" s="3" t="s">
        <v>415</v>
      </c>
    </row>
    <row r="11" spans="1:19" ht="209.45" customHeight="1">
      <c r="A11" s="8" t="s">
        <v>130</v>
      </c>
      <c r="B11" s="3" t="s">
        <v>196</v>
      </c>
      <c r="C11" s="53">
        <v>2.16</v>
      </c>
      <c r="D11" s="83">
        <v>2.2999999999999998</v>
      </c>
      <c r="E11" s="53">
        <f>AVERAGE(C11:D11)</f>
        <v>2.23</v>
      </c>
      <c r="F11" s="310" t="s">
        <v>416</v>
      </c>
      <c r="G11" s="311"/>
      <c r="H11" s="311"/>
      <c r="I11" s="311"/>
      <c r="J11" s="311"/>
      <c r="K11" s="311"/>
      <c r="L11" s="312"/>
      <c r="M11" s="13" t="s">
        <v>417</v>
      </c>
      <c r="N11" s="42"/>
    </row>
    <row r="12" spans="1:19" ht="67.5" customHeight="1">
      <c r="A12" s="8" t="s">
        <v>133</v>
      </c>
      <c r="B12" s="3" t="s">
        <v>196</v>
      </c>
      <c r="C12" s="90">
        <f>0.01*C11+0.03</f>
        <v>5.16E-2</v>
      </c>
      <c r="D12" s="90">
        <f>0.01*D11+0.04</f>
        <v>6.3E-2</v>
      </c>
      <c r="E12" s="90">
        <f>AVERAGE(C12:D12)</f>
        <v>5.7300000000000004E-2</v>
      </c>
      <c r="F12" s="192" t="s">
        <v>418</v>
      </c>
      <c r="G12" s="219"/>
      <c r="H12" s="219"/>
      <c r="I12" s="219"/>
      <c r="J12" s="219"/>
      <c r="K12" s="219"/>
      <c r="L12" s="219"/>
      <c r="M12" s="34"/>
      <c r="N12" s="30"/>
      <c r="O12" s="30"/>
      <c r="P12" s="30"/>
      <c r="Q12" s="30"/>
      <c r="R12" s="30"/>
      <c r="S12" s="30"/>
    </row>
    <row r="13" spans="1:19" ht="29.1" customHeight="1">
      <c r="A13" s="22" t="s">
        <v>96</v>
      </c>
      <c r="B13" s="3" t="s">
        <v>196</v>
      </c>
      <c r="C13" s="69">
        <f>(-PMT('Parameters &amp; assumpties'!$B$8, $E10,C11))+$C12</f>
        <v>0.19910385903662892</v>
      </c>
      <c r="D13" s="69">
        <f>(-PMT('Parameters &amp; assumpties'!$B$8, $E10,D11))+$D12</f>
        <v>0.22006429434455854</v>
      </c>
      <c r="E13" s="69">
        <f>(-PMT('Parameters &amp; assumpties'!$B$8, $E10,E11))+$E12</f>
        <v>0.2095840766905937</v>
      </c>
      <c r="F13" s="278"/>
      <c r="G13" s="279"/>
      <c r="H13" s="279"/>
      <c r="I13" s="279"/>
      <c r="J13" s="279"/>
      <c r="K13" s="279"/>
      <c r="L13" s="280"/>
      <c r="M13" s="14"/>
      <c r="O13" s="30"/>
      <c r="P13" s="30"/>
    </row>
    <row r="14" spans="1:19">
      <c r="A14" s="10" t="s">
        <v>97</v>
      </c>
      <c r="B14" s="10"/>
      <c r="C14" s="10"/>
      <c r="D14" s="10"/>
      <c r="E14" s="10"/>
      <c r="F14" s="10"/>
      <c r="G14" s="10"/>
      <c r="H14" s="10"/>
      <c r="I14" s="10"/>
      <c r="J14" s="10"/>
      <c r="K14" s="10"/>
      <c r="L14" s="10"/>
      <c r="M14" s="24"/>
      <c r="O14" s="30"/>
      <c r="P14" s="30"/>
    </row>
    <row r="15" spans="1:19" ht="14.45" customHeight="1">
      <c r="A15" s="19" t="s">
        <v>75</v>
      </c>
      <c r="B15" s="20" t="s">
        <v>76</v>
      </c>
      <c r="C15" s="20" t="s">
        <v>38</v>
      </c>
      <c r="D15" s="20" t="s">
        <v>39</v>
      </c>
      <c r="E15" s="21" t="s">
        <v>40</v>
      </c>
      <c r="F15" s="268" t="s">
        <v>98</v>
      </c>
      <c r="G15" s="269"/>
      <c r="H15" s="269"/>
      <c r="I15" s="269"/>
      <c r="J15" s="269"/>
      <c r="K15" s="269"/>
      <c r="L15" s="269"/>
      <c r="M15" s="145"/>
      <c r="O15" s="30"/>
      <c r="P15" s="30"/>
    </row>
    <row r="16" spans="1:19" ht="29.1">
      <c r="A16" s="8" t="s">
        <v>362</v>
      </c>
      <c r="B16" s="16" t="s">
        <v>363</v>
      </c>
      <c r="C16" s="50">
        <f>C13/$D$7</f>
        <v>6.8656503116078937</v>
      </c>
      <c r="D16" s="50">
        <f t="shared" ref="D16" si="0">D13/$D$7</f>
        <v>7.5884239429158118</v>
      </c>
      <c r="E16" s="50">
        <f>E13/$D$7</f>
        <v>7.227037127261851</v>
      </c>
      <c r="F16" s="223" t="s">
        <v>419</v>
      </c>
      <c r="G16" s="224"/>
      <c r="H16" s="224"/>
      <c r="I16" s="224"/>
      <c r="J16" s="224"/>
      <c r="K16" s="224"/>
      <c r="L16" s="225"/>
      <c r="M16" s="163"/>
      <c r="O16" s="30"/>
      <c r="P16" s="30"/>
    </row>
    <row r="17" spans="1:16">
      <c r="A17" s="221" t="s">
        <v>105</v>
      </c>
      <c r="B17" s="221"/>
      <c r="C17" s="221"/>
      <c r="D17" s="221"/>
      <c r="E17" s="221"/>
      <c r="F17" s="221"/>
      <c r="G17" s="221"/>
      <c r="H17" s="221"/>
      <c r="I17" s="221"/>
      <c r="J17" s="221"/>
      <c r="K17" s="221"/>
      <c r="L17" s="221"/>
      <c r="M17" s="222"/>
      <c r="O17" s="30"/>
      <c r="P17" s="30"/>
    </row>
    <row r="18" spans="1:16" ht="90.95" customHeight="1">
      <c r="A18" s="172" t="s">
        <v>420</v>
      </c>
      <c r="B18" s="173"/>
      <c r="C18" s="173"/>
      <c r="D18" s="173"/>
      <c r="E18" s="173"/>
      <c r="F18" s="173"/>
      <c r="G18" s="173"/>
      <c r="H18" s="173"/>
      <c r="I18" s="173"/>
      <c r="J18" s="173"/>
      <c r="K18" s="173"/>
      <c r="L18" s="173"/>
      <c r="M18" s="174"/>
      <c r="N18" s="42"/>
      <c r="O18" s="30"/>
      <c r="P18" s="30"/>
    </row>
    <row r="19" spans="1:16">
      <c r="A19" s="221" t="s">
        <v>107</v>
      </c>
      <c r="B19" s="221"/>
      <c r="C19" s="221"/>
      <c r="D19" s="221"/>
      <c r="E19" s="221"/>
      <c r="F19" s="221"/>
      <c r="G19" s="221"/>
      <c r="H19" s="221"/>
      <c r="I19" s="221"/>
      <c r="J19" s="221"/>
      <c r="K19" s="221"/>
      <c r="L19" s="221"/>
      <c r="M19" s="222"/>
      <c r="O19" s="30"/>
      <c r="P19" s="30"/>
    </row>
    <row r="20" spans="1:16">
      <c r="A20" s="17" t="s">
        <v>108</v>
      </c>
      <c r="B20" s="18" t="s">
        <v>109</v>
      </c>
      <c r="C20" s="226" t="s">
        <v>110</v>
      </c>
      <c r="D20" s="227"/>
      <c r="E20" s="227"/>
      <c r="F20" s="227"/>
      <c r="G20" s="227"/>
      <c r="H20" s="227"/>
      <c r="I20" s="227"/>
      <c r="J20" s="227"/>
      <c r="K20" s="227"/>
      <c r="L20" s="228"/>
      <c r="M20" s="47" t="s">
        <v>78</v>
      </c>
      <c r="O20" s="30"/>
      <c r="P20" s="30"/>
    </row>
    <row r="21" spans="1:16" ht="14.45" customHeight="1">
      <c r="A21" s="3" t="s">
        <v>421</v>
      </c>
      <c r="B21" s="5" t="s">
        <v>112</v>
      </c>
      <c r="C21" s="218" t="s">
        <v>422</v>
      </c>
      <c r="D21" s="219"/>
      <c r="E21" s="219"/>
      <c r="F21" s="219"/>
      <c r="G21" s="219"/>
      <c r="H21" s="219"/>
      <c r="I21" s="219"/>
      <c r="J21" s="219"/>
      <c r="K21" s="219"/>
      <c r="L21" s="220"/>
      <c r="M21" s="55" t="s">
        <v>423</v>
      </c>
      <c r="O21" s="30"/>
      <c r="P21" s="30"/>
    </row>
    <row r="22" spans="1:16" ht="14.45" customHeight="1">
      <c r="A22" s="3" t="s">
        <v>111</v>
      </c>
      <c r="B22" s="5" t="s">
        <v>112</v>
      </c>
      <c r="C22" s="218" t="s">
        <v>424</v>
      </c>
      <c r="D22" s="219"/>
      <c r="E22" s="219"/>
      <c r="F22" s="219"/>
      <c r="G22" s="219"/>
      <c r="H22" s="219"/>
      <c r="I22" s="219"/>
      <c r="J22" s="219"/>
      <c r="K22" s="219"/>
      <c r="L22" s="220"/>
      <c r="M22" s="116" t="s">
        <v>425</v>
      </c>
      <c r="O22" s="30"/>
      <c r="P22" s="30"/>
    </row>
    <row r="23" spans="1:16" ht="14.45" customHeight="1">
      <c r="A23" s="3" t="s">
        <v>426</v>
      </c>
      <c r="B23" s="5" t="s">
        <v>112</v>
      </c>
      <c r="C23" s="218" t="s">
        <v>427</v>
      </c>
      <c r="D23" s="219"/>
      <c r="E23" s="219"/>
      <c r="F23" s="219"/>
      <c r="G23" s="219"/>
      <c r="H23" s="219"/>
      <c r="I23" s="219"/>
      <c r="J23" s="219"/>
      <c r="K23" s="219"/>
      <c r="L23" s="220"/>
      <c r="M23" s="29" t="s">
        <v>428</v>
      </c>
    </row>
  </sheetData>
  <mergeCells count="26">
    <mergeCell ref="C23:L23"/>
    <mergeCell ref="A17:M17"/>
    <mergeCell ref="A18:M18"/>
    <mergeCell ref="A19:M19"/>
    <mergeCell ref="C20:L20"/>
    <mergeCell ref="C21:L21"/>
    <mergeCell ref="C22:L22"/>
    <mergeCell ref="F11:L11"/>
    <mergeCell ref="F12:L12"/>
    <mergeCell ref="F13:L13"/>
    <mergeCell ref="F15:L15"/>
    <mergeCell ref="F16:L16"/>
    <mergeCell ref="F10:L10"/>
    <mergeCell ref="A1:M1"/>
    <mergeCell ref="A2:M2"/>
    <mergeCell ref="A3:M3"/>
    <mergeCell ref="A4:M4"/>
    <mergeCell ref="A5:M5"/>
    <mergeCell ref="B6:C6"/>
    <mergeCell ref="D6:E6"/>
    <mergeCell ref="F6:L6"/>
    <mergeCell ref="B7:C7"/>
    <mergeCell ref="D7:E7"/>
    <mergeCell ref="F7:L7"/>
    <mergeCell ref="A8:M8"/>
    <mergeCell ref="F9:L9"/>
  </mergeCells>
  <hyperlinks>
    <hyperlink ref="F10" r:id="rId1" xr:uid="{86D9569F-666B-45CE-82BB-58A6DF5CAADB}"/>
    <hyperlink ref="M23" r:id="rId2" display="https://www.proefstation.be/wp-content/uploads/2020/03/Praktische-brochure-Druppelirrigatie.pdf" xr:uid="{B29413AF-6A0B-4E14-9EDB-8982806EE24A}"/>
    <hyperlink ref="F7" r:id="rId3" xr:uid="{8F42DE17-0A3D-4511-B855-048AC67CBAB0}"/>
  </hyperlinks>
  <pageMargins left="0.7" right="0.7" top="0.75" bottom="0.75"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F274B-E2EB-4B1E-AA47-E237A0848F83}">
  <sheetPr>
    <tabColor rgb="FFD0FBE3"/>
  </sheetPr>
  <dimension ref="A1:P14"/>
  <sheetViews>
    <sheetView tabSelected="1" zoomScaleNormal="100" workbookViewId="0">
      <selection activeCell="C18" sqref="C18:C19"/>
    </sheetView>
  </sheetViews>
  <sheetFormatPr defaultRowHeight="14.45"/>
  <cols>
    <col min="1" max="1" width="24.140625" customWidth="1"/>
    <col min="2" max="2" width="17.5703125" customWidth="1"/>
    <col min="3" max="3" width="11.5703125" customWidth="1"/>
    <col min="4" max="5" width="12.5703125" customWidth="1"/>
    <col min="13" max="13" width="39.140625" customWidth="1"/>
    <col min="14" max="14" width="38.140625" customWidth="1"/>
    <col min="16" max="16" width="97.42578125" customWidth="1"/>
    <col min="17" max="17" width="54.42578125" customWidth="1"/>
  </cols>
  <sheetData>
    <row r="1" spans="1:16" ht="18.600000000000001">
      <c r="A1" s="237" t="s">
        <v>429</v>
      </c>
      <c r="B1" s="238"/>
      <c r="C1" s="238"/>
      <c r="D1" s="238"/>
      <c r="E1" s="238"/>
      <c r="F1" s="238"/>
      <c r="G1" s="238"/>
      <c r="H1" s="238"/>
      <c r="I1" s="238"/>
      <c r="J1" s="238"/>
      <c r="K1" s="238"/>
      <c r="L1" s="238"/>
      <c r="M1" s="238"/>
    </row>
    <row r="2" spans="1:16" ht="15.6">
      <c r="A2" s="239"/>
      <c r="B2" s="240"/>
      <c r="C2" s="240"/>
      <c r="D2" s="240"/>
      <c r="E2" s="240"/>
      <c r="F2" s="240"/>
      <c r="G2" s="240"/>
      <c r="H2" s="240"/>
      <c r="I2" s="240"/>
      <c r="J2" s="240"/>
      <c r="K2" s="240"/>
      <c r="L2" s="240"/>
      <c r="M2" s="241"/>
    </row>
    <row r="3" spans="1:16">
      <c r="A3" s="242" t="s">
        <v>72</v>
      </c>
      <c r="B3" s="221"/>
      <c r="C3" s="221"/>
      <c r="D3" s="221"/>
      <c r="E3" s="221"/>
      <c r="F3" s="221"/>
      <c r="G3" s="221"/>
      <c r="H3" s="221"/>
      <c r="I3" s="221"/>
      <c r="J3" s="221"/>
      <c r="K3" s="221"/>
      <c r="L3" s="221"/>
      <c r="M3" s="221"/>
    </row>
    <row r="4" spans="1:16" ht="113.45" customHeight="1">
      <c r="A4" s="172" t="s">
        <v>430</v>
      </c>
      <c r="B4" s="173"/>
      <c r="C4" s="173"/>
      <c r="D4" s="173"/>
      <c r="E4" s="173"/>
      <c r="F4" s="173"/>
      <c r="G4" s="173"/>
      <c r="H4" s="173"/>
      <c r="I4" s="173"/>
      <c r="J4" s="173"/>
      <c r="K4" s="173"/>
      <c r="L4" s="173"/>
      <c r="M4" s="174"/>
      <c r="P4" s="37"/>
    </row>
    <row r="5" spans="1:16">
      <c r="A5" s="243" t="s">
        <v>74</v>
      </c>
      <c r="B5" s="244"/>
      <c r="C5" s="244"/>
      <c r="D5" s="244"/>
      <c r="E5" s="244"/>
      <c r="F5" s="244"/>
      <c r="G5" s="244"/>
      <c r="H5" s="244"/>
      <c r="I5" s="244"/>
      <c r="J5" s="244"/>
      <c r="K5" s="244"/>
      <c r="L5" s="244"/>
      <c r="M5" s="244"/>
    </row>
    <row r="6" spans="1:16">
      <c r="A6" s="27" t="s">
        <v>75</v>
      </c>
      <c r="B6" s="245" t="s">
        <v>76</v>
      </c>
      <c r="C6" s="246"/>
      <c r="D6" s="184" t="s">
        <v>77</v>
      </c>
      <c r="E6" s="184"/>
      <c r="F6" s="247" t="s">
        <v>78</v>
      </c>
      <c r="G6" s="248"/>
      <c r="H6" s="248"/>
      <c r="I6" s="248"/>
      <c r="J6" s="248"/>
      <c r="K6" s="248"/>
      <c r="L6" s="249"/>
      <c r="M6" s="1" t="s">
        <v>128</v>
      </c>
      <c r="P6" s="29"/>
    </row>
    <row r="7" spans="1:16" ht="201.6" customHeight="1">
      <c r="A7" s="3" t="s">
        <v>240</v>
      </c>
      <c r="B7" s="218" t="s">
        <v>431</v>
      </c>
      <c r="C7" s="219"/>
      <c r="D7" s="195">
        <v>1350000</v>
      </c>
      <c r="E7" s="195"/>
      <c r="F7" s="288" t="s">
        <v>432</v>
      </c>
      <c r="G7" s="289"/>
      <c r="H7" s="289"/>
      <c r="I7" s="289"/>
      <c r="J7" s="289"/>
      <c r="K7" s="289"/>
      <c r="L7" s="290"/>
      <c r="M7" s="43" t="s">
        <v>433</v>
      </c>
      <c r="N7" s="40"/>
      <c r="P7" s="29"/>
    </row>
    <row r="8" spans="1:16">
      <c r="A8" s="221" t="s">
        <v>85</v>
      </c>
      <c r="B8" s="221"/>
      <c r="C8" s="221"/>
      <c r="D8" s="221"/>
      <c r="E8" s="221"/>
      <c r="F8" s="221"/>
      <c r="G8" s="221"/>
      <c r="H8" s="221"/>
      <c r="I8" s="221"/>
      <c r="J8" s="221"/>
      <c r="K8" s="221"/>
      <c r="L8" s="221"/>
      <c r="M8" s="222"/>
    </row>
    <row r="9" spans="1:16" ht="43.5">
      <c r="A9" s="31" t="s">
        <v>75</v>
      </c>
      <c r="B9" s="31" t="s">
        <v>76</v>
      </c>
      <c r="C9" s="31" t="s">
        <v>434</v>
      </c>
      <c r="D9" s="31" t="s">
        <v>435</v>
      </c>
      <c r="E9" s="32" t="s">
        <v>436</v>
      </c>
      <c r="F9" s="316" t="s">
        <v>78</v>
      </c>
      <c r="G9" s="317"/>
      <c r="H9" s="317"/>
      <c r="I9" s="317"/>
      <c r="J9" s="317"/>
      <c r="K9" s="317"/>
      <c r="L9" s="317"/>
      <c r="M9" s="32" t="s">
        <v>79</v>
      </c>
    </row>
    <row r="10" spans="1:16">
      <c r="A10" s="3" t="s">
        <v>86</v>
      </c>
      <c r="B10" s="3" t="s">
        <v>87</v>
      </c>
      <c r="C10" s="11"/>
      <c r="D10" s="11"/>
      <c r="E10" s="11" t="s">
        <v>437</v>
      </c>
      <c r="F10" s="192"/>
      <c r="G10" s="219"/>
      <c r="H10" s="219"/>
      <c r="I10" s="219"/>
      <c r="J10" s="219"/>
      <c r="K10" s="219"/>
      <c r="L10" s="219"/>
      <c r="M10" s="3"/>
      <c r="P10" s="29"/>
    </row>
    <row r="11" spans="1:16" ht="83.1" customHeight="1">
      <c r="A11" s="8" t="s">
        <v>438</v>
      </c>
      <c r="B11" s="3" t="s">
        <v>439</v>
      </c>
      <c r="C11" s="4">
        <v>59455.426615000004</v>
      </c>
      <c r="D11" s="4">
        <v>3.5</v>
      </c>
      <c r="E11" s="132">
        <f>D11*C11</f>
        <v>208093.99315250001</v>
      </c>
      <c r="F11" s="295" t="s">
        <v>440</v>
      </c>
      <c r="G11" s="235"/>
      <c r="H11" s="235"/>
      <c r="I11" s="235"/>
      <c r="J11" s="235"/>
      <c r="K11" s="235"/>
      <c r="L11" s="236"/>
      <c r="M11" s="14" t="s">
        <v>441</v>
      </c>
    </row>
    <row r="12" spans="1:16">
      <c r="A12" s="10" t="s">
        <v>97</v>
      </c>
      <c r="B12" s="10"/>
      <c r="C12" s="10"/>
      <c r="D12" s="10"/>
      <c r="E12" s="10"/>
      <c r="F12" s="10"/>
      <c r="G12" s="10"/>
      <c r="H12" s="10"/>
      <c r="I12" s="10"/>
      <c r="J12" s="10"/>
      <c r="K12" s="10"/>
      <c r="L12" s="10"/>
      <c r="M12" s="24"/>
    </row>
    <row r="13" spans="1:16" ht="14.45" customHeight="1">
      <c r="A13" s="19" t="s">
        <v>75</v>
      </c>
      <c r="B13" s="20" t="s">
        <v>76</v>
      </c>
      <c r="C13" s="20" t="s">
        <v>38</v>
      </c>
      <c r="D13" s="20" t="s">
        <v>39</v>
      </c>
      <c r="E13" s="21" t="s">
        <v>40</v>
      </c>
      <c r="F13" s="268" t="s">
        <v>98</v>
      </c>
      <c r="G13" s="269"/>
      <c r="H13" s="269"/>
      <c r="I13" s="269"/>
      <c r="J13" s="269"/>
      <c r="K13" s="269"/>
      <c r="L13" s="270"/>
      <c r="M13" s="1"/>
    </row>
    <row r="14" spans="1:16" ht="29.1">
      <c r="A14" s="2" t="s">
        <v>362</v>
      </c>
      <c r="B14" s="3" t="s">
        <v>149</v>
      </c>
      <c r="C14" s="9"/>
      <c r="D14" s="9"/>
      <c r="E14" s="90">
        <f>E11/D7</f>
        <v>0.1541436986314815</v>
      </c>
      <c r="F14" s="313"/>
      <c r="G14" s="314"/>
      <c r="H14" s="314"/>
      <c r="I14" s="314"/>
      <c r="J14" s="314"/>
      <c r="K14" s="314"/>
      <c r="L14" s="315"/>
      <c r="M14" s="15"/>
    </row>
  </sheetData>
  <mergeCells count="17">
    <mergeCell ref="F10:L10"/>
    <mergeCell ref="F11:L11"/>
    <mergeCell ref="F13:L13"/>
    <mergeCell ref="F14:L14"/>
    <mergeCell ref="B7:C7"/>
    <mergeCell ref="D7:E7"/>
    <mergeCell ref="F7:L7"/>
    <mergeCell ref="A8:M8"/>
    <mergeCell ref="F9:L9"/>
    <mergeCell ref="B6:C6"/>
    <mergeCell ref="D6:E6"/>
    <mergeCell ref="F6:L6"/>
    <mergeCell ref="A1:M1"/>
    <mergeCell ref="A2:M2"/>
    <mergeCell ref="A3:M3"/>
    <mergeCell ref="A4:M4"/>
    <mergeCell ref="A5:M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993B-AD7B-435A-8692-D2258C9C1BD3}">
  <sheetPr>
    <tabColor rgb="FFFEF5D2"/>
  </sheetPr>
  <dimension ref="A1:S21"/>
  <sheetViews>
    <sheetView zoomScaleNormal="100" workbookViewId="0">
      <selection activeCell="A4" sqref="A4:M4"/>
    </sheetView>
  </sheetViews>
  <sheetFormatPr defaultColWidth="8.85546875" defaultRowHeight="14.45"/>
  <cols>
    <col min="1" max="1" width="24.140625" customWidth="1"/>
    <col min="2" max="2" width="17.5703125" customWidth="1"/>
    <col min="3" max="3" width="11.5703125" customWidth="1"/>
    <col min="4" max="5" width="12.5703125" customWidth="1"/>
    <col min="13" max="13" width="39.140625" customWidth="1"/>
  </cols>
  <sheetData>
    <row r="1" spans="1:19" ht="18.600000000000001">
      <c r="A1" s="237" t="s">
        <v>442</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288.95" customHeight="1">
      <c r="A4" s="172" t="s">
        <v>443</v>
      </c>
      <c r="B4" s="173"/>
      <c r="C4" s="173"/>
      <c r="D4" s="173"/>
      <c r="E4" s="173"/>
      <c r="F4" s="173"/>
      <c r="G4" s="173"/>
      <c r="H4" s="173"/>
      <c r="I4" s="173"/>
      <c r="J4" s="173"/>
      <c r="K4" s="173"/>
      <c r="L4" s="173"/>
      <c r="M4" s="174"/>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ht="108" customHeight="1">
      <c r="A7" s="2" t="s">
        <v>240</v>
      </c>
      <c r="B7" s="218" t="s">
        <v>444</v>
      </c>
      <c r="C7" s="219"/>
      <c r="D7" s="321">
        <f>0.075*1000</f>
        <v>75</v>
      </c>
      <c r="E7" s="321"/>
      <c r="F7" s="288" t="s">
        <v>445</v>
      </c>
      <c r="G7" s="289"/>
      <c r="H7" s="289"/>
      <c r="I7" s="289"/>
      <c r="J7" s="289"/>
      <c r="K7" s="289"/>
      <c r="L7" s="290"/>
      <c r="M7" s="43" t="s">
        <v>446</v>
      </c>
      <c r="N7" s="42"/>
      <c r="O7" s="42"/>
    </row>
    <row r="8" spans="1:19">
      <c r="A8" s="221" t="s">
        <v>85</v>
      </c>
      <c r="B8" s="221"/>
      <c r="C8" s="221"/>
      <c r="D8" s="221"/>
      <c r="E8" s="221"/>
      <c r="F8" s="221"/>
      <c r="G8" s="221"/>
      <c r="H8" s="221"/>
      <c r="I8" s="221"/>
      <c r="J8" s="221"/>
      <c r="K8" s="221"/>
      <c r="L8" s="221"/>
      <c r="M8" s="222"/>
    </row>
    <row r="9" spans="1:19">
      <c r="A9" s="31" t="s">
        <v>75</v>
      </c>
      <c r="B9" s="31" t="s">
        <v>76</v>
      </c>
      <c r="C9" s="31" t="s">
        <v>38</v>
      </c>
      <c r="D9" s="31" t="s">
        <v>39</v>
      </c>
      <c r="E9" s="32" t="s">
        <v>40</v>
      </c>
      <c r="F9" s="247" t="s">
        <v>78</v>
      </c>
      <c r="G9" s="248"/>
      <c r="H9" s="248"/>
      <c r="I9" s="248"/>
      <c r="J9" s="248"/>
      <c r="K9" s="248"/>
      <c r="L9" s="248"/>
      <c r="M9" s="1" t="s">
        <v>79</v>
      </c>
    </row>
    <row r="10" spans="1:19">
      <c r="A10" s="3" t="s">
        <v>86</v>
      </c>
      <c r="B10" s="3" t="s">
        <v>87</v>
      </c>
      <c r="C10" s="11"/>
      <c r="D10" s="11"/>
      <c r="E10" s="52">
        <v>10</v>
      </c>
      <c r="F10" s="192" t="s">
        <v>88</v>
      </c>
      <c r="G10" s="219"/>
      <c r="H10" s="219"/>
      <c r="I10" s="219"/>
      <c r="J10" s="219"/>
      <c r="K10" s="219"/>
      <c r="L10" s="219"/>
      <c r="M10" s="3" t="s">
        <v>447</v>
      </c>
      <c r="N10" s="42"/>
    </row>
    <row r="11" spans="1:19" ht="42" customHeight="1">
      <c r="A11" s="8" t="s">
        <v>130</v>
      </c>
      <c r="B11" s="3" t="s">
        <v>448</v>
      </c>
      <c r="C11" s="102">
        <f>2000</f>
        <v>2000</v>
      </c>
      <c r="D11" s="102">
        <v>8000</v>
      </c>
      <c r="E11" s="102">
        <f>AVERAGE(C11:D11)</f>
        <v>5000</v>
      </c>
      <c r="F11" s="318" t="s">
        <v>445</v>
      </c>
      <c r="G11" s="319"/>
      <c r="H11" s="319"/>
      <c r="I11" s="319"/>
      <c r="J11" s="319"/>
      <c r="K11" s="319"/>
      <c r="L11" s="320"/>
      <c r="M11" s="43" t="s">
        <v>449</v>
      </c>
      <c r="N11" s="42"/>
    </row>
    <row r="12" spans="1:19" ht="201.95" customHeight="1">
      <c r="A12" s="8" t="s">
        <v>133</v>
      </c>
      <c r="B12" s="3" t="s">
        <v>448</v>
      </c>
      <c r="C12" s="9"/>
      <c r="D12" s="9"/>
      <c r="E12" s="9"/>
      <c r="F12" s="192" t="s">
        <v>437</v>
      </c>
      <c r="G12" s="219"/>
      <c r="H12" s="219"/>
      <c r="I12" s="219"/>
      <c r="J12" s="219"/>
      <c r="K12" s="219"/>
      <c r="L12" s="219"/>
      <c r="M12" s="34" t="s">
        <v>450</v>
      </c>
      <c r="N12" s="99"/>
      <c r="O12" s="30"/>
      <c r="P12" s="30"/>
      <c r="Q12" s="30"/>
      <c r="R12" s="30"/>
      <c r="S12" s="30"/>
    </row>
    <row r="13" spans="1:19" ht="29.1" customHeight="1">
      <c r="A13" s="22" t="s">
        <v>96</v>
      </c>
      <c r="B13" s="3" t="s">
        <v>448</v>
      </c>
      <c r="C13" s="50">
        <f>(-PMT('Parameters &amp; assumpties'!$B$8, $E10,C11))+$C12</f>
        <v>222.65305573063293</v>
      </c>
      <c r="D13" s="50">
        <f>(-PMT('Parameters &amp; assumpties'!$B$8, $E10,D11))+$D12</f>
        <v>890.61222292253171</v>
      </c>
      <c r="E13" s="50">
        <f>(-PMT('Parameters &amp; assumpties'!$B$8, $E10,E11))+$E12</f>
        <v>556.63263932658231</v>
      </c>
      <c r="F13" s="278"/>
      <c r="G13" s="279"/>
      <c r="H13" s="279"/>
      <c r="I13" s="279"/>
      <c r="J13" s="279"/>
      <c r="K13" s="279"/>
      <c r="L13" s="280"/>
      <c r="M13" s="14"/>
      <c r="N13" s="42"/>
      <c r="O13" s="30"/>
      <c r="P13" s="30"/>
    </row>
    <row r="14" spans="1:19">
      <c r="A14" s="10" t="s">
        <v>97</v>
      </c>
      <c r="B14" s="10"/>
      <c r="C14" s="10"/>
      <c r="D14" s="10"/>
      <c r="E14" s="10"/>
      <c r="F14" s="10"/>
      <c r="G14" s="10"/>
      <c r="H14" s="10"/>
      <c r="I14" s="10"/>
      <c r="J14" s="10"/>
      <c r="K14" s="10"/>
      <c r="L14" s="10"/>
      <c r="M14" s="24"/>
      <c r="N14" s="42"/>
      <c r="O14" s="30"/>
      <c r="P14" s="30"/>
    </row>
    <row r="15" spans="1:19" ht="14.45" customHeight="1">
      <c r="A15" s="19" t="s">
        <v>75</v>
      </c>
      <c r="B15" s="20" t="s">
        <v>76</v>
      </c>
      <c r="C15" s="20" t="s">
        <v>38</v>
      </c>
      <c r="D15" s="20" t="s">
        <v>39</v>
      </c>
      <c r="E15" s="21" t="s">
        <v>40</v>
      </c>
      <c r="F15" s="268" t="s">
        <v>98</v>
      </c>
      <c r="G15" s="269"/>
      <c r="H15" s="269"/>
      <c r="I15" s="269"/>
      <c r="J15" s="269"/>
      <c r="K15" s="269"/>
      <c r="L15" s="270"/>
      <c r="M15" s="1"/>
      <c r="N15" s="42"/>
      <c r="O15" s="30"/>
      <c r="P15" s="30"/>
    </row>
    <row r="16" spans="1:19" ht="29.1">
      <c r="A16" s="8" t="s">
        <v>362</v>
      </c>
      <c r="B16" s="3" t="s">
        <v>405</v>
      </c>
      <c r="C16" s="50">
        <f>C13/250</f>
        <v>0.89061222292253173</v>
      </c>
      <c r="D16" s="50">
        <f t="shared" ref="D16:E16" si="0">D13/250</f>
        <v>3.5624488916901269</v>
      </c>
      <c r="E16" s="50">
        <f t="shared" si="0"/>
        <v>2.2265305573063294</v>
      </c>
      <c r="F16" s="281"/>
      <c r="G16" s="282"/>
      <c r="H16" s="282"/>
      <c r="I16" s="282"/>
      <c r="J16" s="282"/>
      <c r="K16" s="282"/>
      <c r="L16" s="283"/>
      <c r="M16" s="15"/>
      <c r="N16" s="42"/>
      <c r="O16" s="99"/>
      <c r="P16" s="30"/>
    </row>
    <row r="17" spans="1:16">
      <c r="A17" s="221" t="s">
        <v>105</v>
      </c>
      <c r="B17" s="221"/>
      <c r="C17" s="221"/>
      <c r="D17" s="221"/>
      <c r="E17" s="221"/>
      <c r="F17" s="221"/>
      <c r="G17" s="221"/>
      <c r="H17" s="221"/>
      <c r="I17" s="221"/>
      <c r="J17" s="221"/>
      <c r="K17" s="221"/>
      <c r="L17" s="221"/>
      <c r="M17" s="222"/>
      <c r="O17" s="30"/>
      <c r="P17" s="30"/>
    </row>
    <row r="18" spans="1:16" ht="28.35" customHeight="1">
      <c r="A18" s="172" t="s">
        <v>451</v>
      </c>
      <c r="B18" s="173"/>
      <c r="C18" s="173"/>
      <c r="D18" s="173"/>
      <c r="E18" s="173"/>
      <c r="F18" s="173"/>
      <c r="G18" s="173"/>
      <c r="H18" s="173"/>
      <c r="I18" s="173"/>
      <c r="J18" s="173"/>
      <c r="K18" s="173"/>
      <c r="L18" s="173"/>
      <c r="M18" s="174"/>
      <c r="O18" s="30"/>
      <c r="P18" s="30"/>
    </row>
    <row r="19" spans="1:16">
      <c r="A19" s="221" t="s">
        <v>107</v>
      </c>
      <c r="B19" s="221"/>
      <c r="C19" s="221"/>
      <c r="D19" s="221"/>
      <c r="E19" s="221"/>
      <c r="F19" s="221"/>
      <c r="G19" s="221"/>
      <c r="H19" s="221"/>
      <c r="I19" s="221"/>
      <c r="J19" s="221"/>
      <c r="K19" s="221"/>
      <c r="L19" s="221"/>
      <c r="M19" s="222"/>
      <c r="O19" s="30"/>
      <c r="P19" s="30"/>
    </row>
    <row r="20" spans="1:16">
      <c r="A20" s="17" t="s">
        <v>108</v>
      </c>
      <c r="B20" s="18" t="s">
        <v>109</v>
      </c>
      <c r="C20" s="226" t="s">
        <v>110</v>
      </c>
      <c r="D20" s="227"/>
      <c r="E20" s="227"/>
      <c r="F20" s="227"/>
      <c r="G20" s="227"/>
      <c r="H20" s="227"/>
      <c r="I20" s="227"/>
      <c r="J20" s="227"/>
      <c r="K20" s="227"/>
      <c r="L20" s="228"/>
      <c r="M20" s="47" t="s">
        <v>78</v>
      </c>
      <c r="O20" s="30"/>
      <c r="P20" s="30"/>
    </row>
    <row r="21" spans="1:16">
      <c r="A21" s="3" t="s">
        <v>259</v>
      </c>
      <c r="B21" s="5" t="s">
        <v>112</v>
      </c>
      <c r="C21" s="177" t="s">
        <v>452</v>
      </c>
      <c r="D21" s="177"/>
      <c r="E21" s="177"/>
      <c r="F21" s="177"/>
      <c r="G21" s="177"/>
      <c r="H21" s="177"/>
      <c r="I21" s="177"/>
      <c r="J21" s="177"/>
      <c r="K21" s="177"/>
      <c r="L21" s="177"/>
      <c r="M21" s="46" t="s">
        <v>453</v>
      </c>
      <c r="O21" s="30"/>
      <c r="P21" s="30"/>
    </row>
  </sheetData>
  <mergeCells count="24">
    <mergeCell ref="C21:L21"/>
    <mergeCell ref="F10:L10"/>
    <mergeCell ref="A1:M1"/>
    <mergeCell ref="A2:M2"/>
    <mergeCell ref="A3:M3"/>
    <mergeCell ref="A4:M4"/>
    <mergeCell ref="A5:M5"/>
    <mergeCell ref="B6:C6"/>
    <mergeCell ref="D6:E6"/>
    <mergeCell ref="F6:L6"/>
    <mergeCell ref="B7:C7"/>
    <mergeCell ref="D7:E7"/>
    <mergeCell ref="F7:L7"/>
    <mergeCell ref="A8:M8"/>
    <mergeCell ref="F9:L9"/>
    <mergeCell ref="A18:M18"/>
    <mergeCell ref="A19:M19"/>
    <mergeCell ref="C20:L20"/>
    <mergeCell ref="F11:L11"/>
    <mergeCell ref="F12:L12"/>
    <mergeCell ref="F13:L13"/>
    <mergeCell ref="F15:L15"/>
    <mergeCell ref="F16:L16"/>
    <mergeCell ref="A17:M17"/>
  </mergeCells>
  <hyperlinks>
    <hyperlink ref="M21" r:id="rId1" location=":~:text=Wat%20is%20een%20wateraudit%3F%20Een%20wateraudit%20is%20een,kan%20worden%20afgebouwd%20en%20vervangen%20door%20andere%20" display="https://lv.vlaanderen.be/nl/voorlichting-info/publicaties/praktijkgidsen/water/duurzaam-watergebruik-algemeen/wateraudit - :~:text=Wat%20is%20een%20wateraudit%3F%20Een%20wateraudit%20is%20een,kan%20worden%20afgebouwd%20en%20vervangen%20door%20andere%20" xr:uid="{91881A83-0324-43B6-8D4A-5DBE9DEA1722}"/>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3616-DD1A-4E2E-9A0B-1276D71E2326}">
  <sheetPr>
    <tabColor rgb="FFFEF5D2"/>
  </sheetPr>
  <dimension ref="A1:V18"/>
  <sheetViews>
    <sheetView zoomScale="110" zoomScaleNormal="110" workbookViewId="0">
      <selection activeCell="A18" sqref="A18:M18"/>
    </sheetView>
  </sheetViews>
  <sheetFormatPr defaultColWidth="8.85546875" defaultRowHeight="14.45"/>
  <cols>
    <col min="1" max="1" width="24.140625" customWidth="1"/>
    <col min="2" max="2" width="17.5703125" customWidth="1"/>
    <col min="3" max="3" width="11.5703125" customWidth="1"/>
    <col min="4" max="5" width="12.5703125" customWidth="1"/>
    <col min="11" max="11" width="5.42578125" customWidth="1"/>
    <col min="12" max="12" width="8.85546875" hidden="1" customWidth="1"/>
    <col min="13" max="13" width="51.42578125" customWidth="1"/>
    <col min="15" max="15" width="75.5703125" customWidth="1"/>
    <col min="16" max="16" width="21.85546875" customWidth="1"/>
    <col min="17" max="17" width="35.5703125" customWidth="1"/>
    <col min="18" max="19" width="23.85546875" customWidth="1"/>
    <col min="20" max="20" width="27" customWidth="1"/>
    <col min="21" max="21" width="54" customWidth="1"/>
    <col min="22" max="22" width="33" customWidth="1"/>
  </cols>
  <sheetData>
    <row r="1" spans="1:22" ht="18.600000000000001">
      <c r="A1" s="186" t="s">
        <v>454</v>
      </c>
      <c r="B1" s="186"/>
      <c r="C1" s="186"/>
      <c r="D1" s="186"/>
      <c r="E1" s="186"/>
      <c r="F1" s="186"/>
      <c r="G1" s="186"/>
      <c r="H1" s="186"/>
      <c r="I1" s="186"/>
      <c r="J1" s="186"/>
      <c r="K1" s="186"/>
      <c r="L1" s="186"/>
      <c r="M1" s="186"/>
    </row>
    <row r="2" spans="1:22" ht="15.6">
      <c r="A2" s="197"/>
      <c r="B2" s="197"/>
      <c r="C2" s="197"/>
      <c r="D2" s="197"/>
      <c r="E2" s="197"/>
      <c r="F2" s="197"/>
      <c r="G2" s="197"/>
      <c r="H2" s="197"/>
      <c r="I2" s="197"/>
      <c r="J2" s="197"/>
      <c r="K2" s="197"/>
      <c r="L2" s="197"/>
      <c r="M2" s="197"/>
    </row>
    <row r="3" spans="1:22">
      <c r="A3" s="175" t="s">
        <v>72</v>
      </c>
      <c r="B3" s="175"/>
      <c r="C3" s="175"/>
      <c r="D3" s="175"/>
      <c r="E3" s="175"/>
      <c r="F3" s="175"/>
      <c r="G3" s="175"/>
      <c r="H3" s="175"/>
      <c r="I3" s="175"/>
      <c r="J3" s="175"/>
      <c r="K3" s="175"/>
      <c r="L3" s="175"/>
      <c r="M3" s="175"/>
    </row>
    <row r="4" spans="1:22" ht="87.95" customHeight="1">
      <c r="A4" s="196" t="s">
        <v>455</v>
      </c>
      <c r="B4" s="196"/>
      <c r="C4" s="196"/>
      <c r="D4" s="196"/>
      <c r="E4" s="196"/>
      <c r="F4" s="196"/>
      <c r="G4" s="196"/>
      <c r="H4" s="196"/>
      <c r="I4" s="196"/>
      <c r="J4" s="196"/>
      <c r="K4" s="196"/>
      <c r="L4" s="196"/>
      <c r="M4" s="196"/>
    </row>
    <row r="5" spans="1:22">
      <c r="A5" s="187" t="s">
        <v>74</v>
      </c>
      <c r="B5" s="187"/>
      <c r="C5" s="187"/>
      <c r="D5" s="187"/>
      <c r="E5" s="187"/>
      <c r="F5" s="187"/>
      <c r="G5" s="187"/>
      <c r="H5" s="187"/>
      <c r="I5" s="187"/>
      <c r="J5" s="187"/>
      <c r="K5" s="187"/>
      <c r="L5" s="187"/>
      <c r="M5" s="187"/>
    </row>
    <row r="6" spans="1:22">
      <c r="A6" s="72" t="s">
        <v>75</v>
      </c>
      <c r="B6" s="250" t="s">
        <v>76</v>
      </c>
      <c r="C6" s="252"/>
      <c r="D6" s="322" t="s">
        <v>77</v>
      </c>
      <c r="E6" s="323"/>
      <c r="F6" s="185" t="s">
        <v>78</v>
      </c>
      <c r="G6" s="185"/>
      <c r="H6" s="185"/>
      <c r="I6" s="185"/>
      <c r="J6" s="185"/>
      <c r="K6" s="185"/>
      <c r="L6" s="185"/>
      <c r="M6" s="1" t="s">
        <v>128</v>
      </c>
    </row>
    <row r="7" spans="1:22" ht="86.1" customHeight="1">
      <c r="A7" s="3" t="s">
        <v>240</v>
      </c>
      <c r="B7" s="218" t="s">
        <v>456</v>
      </c>
      <c r="C7" s="220"/>
      <c r="D7" s="325">
        <v>0.1</v>
      </c>
      <c r="E7" s="326"/>
      <c r="F7" s="327" t="s">
        <v>445</v>
      </c>
      <c r="G7" s="213"/>
      <c r="H7" s="213"/>
      <c r="I7" s="213"/>
      <c r="J7" s="213"/>
      <c r="K7" s="213"/>
      <c r="L7" s="213"/>
      <c r="M7" s="43" t="s">
        <v>457</v>
      </c>
      <c r="O7" s="42"/>
    </row>
    <row r="8" spans="1:22" ht="18.95" customHeight="1">
      <c r="A8" s="175" t="s">
        <v>85</v>
      </c>
      <c r="B8" s="175"/>
      <c r="C8" s="175"/>
      <c r="D8" s="175"/>
      <c r="E8" s="175"/>
      <c r="F8" s="175"/>
      <c r="G8" s="175"/>
      <c r="H8" s="175"/>
      <c r="I8" s="175"/>
      <c r="J8" s="175"/>
      <c r="K8" s="175"/>
      <c r="L8" s="175"/>
      <c r="M8" s="175"/>
      <c r="Q8" s="45"/>
      <c r="S8" s="45"/>
      <c r="T8" s="45"/>
      <c r="U8" s="45"/>
      <c r="V8" s="109"/>
    </row>
    <row r="9" spans="1:22" ht="17.45" customHeight="1">
      <c r="A9" s="31" t="s">
        <v>75</v>
      </c>
      <c r="B9" s="31" t="s">
        <v>76</v>
      </c>
      <c r="C9" s="31" t="s">
        <v>38</v>
      </c>
      <c r="D9" s="31" t="s">
        <v>39</v>
      </c>
      <c r="E9" s="32" t="s">
        <v>40</v>
      </c>
      <c r="F9" s="214" t="s">
        <v>78</v>
      </c>
      <c r="G9" s="214"/>
      <c r="H9" s="214"/>
      <c r="I9" s="214"/>
      <c r="J9" s="214"/>
      <c r="K9" s="214"/>
      <c r="L9" s="214"/>
      <c r="M9" s="32" t="s">
        <v>79</v>
      </c>
      <c r="P9" s="62"/>
      <c r="Q9" s="62"/>
      <c r="R9" s="62"/>
      <c r="S9" s="45"/>
      <c r="U9" s="63"/>
      <c r="V9" s="110"/>
    </row>
    <row r="10" spans="1:22" ht="24" customHeight="1">
      <c r="A10" s="3" t="s">
        <v>86</v>
      </c>
      <c r="B10" s="3" t="s">
        <v>87</v>
      </c>
      <c r="C10" s="3"/>
      <c r="D10" s="3"/>
      <c r="E10" s="59">
        <v>10</v>
      </c>
      <c r="F10" s="207" t="s">
        <v>445</v>
      </c>
      <c r="G10" s="177"/>
      <c r="H10" s="177"/>
      <c r="I10" s="177"/>
      <c r="J10" s="177"/>
      <c r="K10" s="177"/>
      <c r="L10" s="177"/>
      <c r="M10" s="3"/>
      <c r="P10" s="62"/>
      <c r="Q10" s="62"/>
      <c r="R10" s="62"/>
      <c r="S10" s="45"/>
      <c r="U10" s="63"/>
      <c r="V10" s="110"/>
    </row>
    <row r="11" spans="1:22" ht="159" customHeight="1">
      <c r="A11" s="3" t="s">
        <v>130</v>
      </c>
      <c r="B11" s="3" t="s">
        <v>458</v>
      </c>
      <c r="C11" s="51">
        <v>0.06</v>
      </c>
      <c r="D11" s="51">
        <v>0.47</v>
      </c>
      <c r="E11" s="88">
        <v>0.16500000000000001</v>
      </c>
      <c r="F11" s="327" t="s">
        <v>445</v>
      </c>
      <c r="G11" s="213"/>
      <c r="H11" s="213"/>
      <c r="I11" s="213"/>
      <c r="J11" s="213"/>
      <c r="K11" s="213"/>
      <c r="L11" s="213"/>
      <c r="M11" s="43" t="s">
        <v>459</v>
      </c>
      <c r="N11" s="42"/>
      <c r="P11" s="62"/>
      <c r="Q11" s="62"/>
      <c r="R11" s="62"/>
      <c r="S11" s="45"/>
      <c r="U11" s="63"/>
      <c r="V11" s="110"/>
    </row>
    <row r="12" spans="1:22" ht="162" customHeight="1">
      <c r="A12" s="3" t="s">
        <v>133</v>
      </c>
      <c r="B12" s="3" t="s">
        <v>458</v>
      </c>
      <c r="C12" s="88">
        <v>2.5000000000000001E-2</v>
      </c>
      <c r="D12" s="88">
        <v>0.53500000000000003</v>
      </c>
      <c r="E12" s="51">
        <v>0.06</v>
      </c>
      <c r="F12" s="207" t="s">
        <v>445</v>
      </c>
      <c r="G12" s="177"/>
      <c r="H12" s="177"/>
      <c r="I12" s="177"/>
      <c r="J12" s="177"/>
      <c r="K12" s="177"/>
      <c r="L12" s="177"/>
      <c r="M12" s="43" t="s">
        <v>459</v>
      </c>
      <c r="N12" s="30"/>
      <c r="O12" s="30"/>
      <c r="P12" s="62"/>
      <c r="Q12" s="62"/>
      <c r="R12" s="62"/>
      <c r="S12" s="45"/>
      <c r="U12" s="63"/>
      <c r="V12" s="110"/>
    </row>
    <row r="13" spans="1:22" ht="29.1" customHeight="1">
      <c r="A13" s="3" t="s">
        <v>96</v>
      </c>
      <c r="B13" s="3" t="s">
        <v>458</v>
      </c>
      <c r="C13" s="51">
        <f>C11+C12</f>
        <v>8.4999999999999992E-2</v>
      </c>
      <c r="D13" s="51">
        <f t="shared" ref="D13:E13" si="0">D11+D12</f>
        <v>1.0049999999999999</v>
      </c>
      <c r="E13" s="51">
        <f t="shared" si="0"/>
        <v>0.22500000000000001</v>
      </c>
      <c r="F13" s="210"/>
      <c r="G13" s="210"/>
      <c r="H13" s="210"/>
      <c r="I13" s="210"/>
      <c r="J13" s="210"/>
      <c r="K13" s="210"/>
      <c r="L13" s="210"/>
      <c r="M13" s="14"/>
      <c r="O13" s="30"/>
      <c r="P13" s="64"/>
      <c r="Q13" s="64"/>
      <c r="R13" s="64"/>
      <c r="S13" s="37"/>
      <c r="T13" s="65"/>
      <c r="U13" s="66"/>
      <c r="V13" s="110"/>
    </row>
    <row r="14" spans="1:22" ht="15.95" customHeight="1">
      <c r="A14" s="96" t="s">
        <v>97</v>
      </c>
      <c r="B14" s="74"/>
      <c r="C14" s="74"/>
      <c r="D14" s="74"/>
      <c r="E14" s="74"/>
      <c r="F14" s="204"/>
      <c r="G14" s="205"/>
      <c r="H14" s="205"/>
      <c r="I14" s="205"/>
      <c r="J14" s="205"/>
      <c r="K14" s="205"/>
      <c r="L14" s="206"/>
      <c r="M14" s="74"/>
      <c r="O14" s="30"/>
      <c r="P14" s="30"/>
    </row>
    <row r="15" spans="1:22" ht="14.45" customHeight="1">
      <c r="A15" s="31" t="s">
        <v>75</v>
      </c>
      <c r="B15" s="31" t="s">
        <v>76</v>
      </c>
      <c r="C15" s="31" t="s">
        <v>38</v>
      </c>
      <c r="D15" s="31" t="s">
        <v>39</v>
      </c>
      <c r="E15" s="1" t="s">
        <v>40</v>
      </c>
      <c r="F15" s="178" t="s">
        <v>98</v>
      </c>
      <c r="G15" s="178"/>
      <c r="H15" s="178"/>
      <c r="I15" s="178"/>
      <c r="J15" s="178"/>
      <c r="K15" s="178"/>
      <c r="L15" s="178"/>
      <c r="M15" s="1"/>
      <c r="O15" s="30"/>
      <c r="P15" s="30"/>
      <c r="T15" s="42"/>
    </row>
    <row r="16" spans="1:22" ht="29.1">
      <c r="A16" s="8" t="s">
        <v>362</v>
      </c>
      <c r="B16" s="3" t="s">
        <v>460</v>
      </c>
      <c r="C16" s="51">
        <f>C13/$D$7</f>
        <v>0.84999999999999987</v>
      </c>
      <c r="D16" s="51">
        <f>D13/$D$7</f>
        <v>10.049999999999999</v>
      </c>
      <c r="E16" s="51">
        <f t="shared" ref="E16" si="1">E13/$D$7</f>
        <v>2.25</v>
      </c>
      <c r="F16" s="211"/>
      <c r="G16" s="211"/>
      <c r="H16" s="211"/>
      <c r="I16" s="211"/>
      <c r="J16" s="211"/>
      <c r="K16" s="211"/>
      <c r="L16" s="211"/>
      <c r="M16" s="15"/>
      <c r="N16" s="42"/>
      <c r="O16" s="30"/>
      <c r="P16" s="30"/>
    </row>
    <row r="17" spans="1:16" ht="14.45" customHeight="1">
      <c r="A17" s="324" t="s">
        <v>105</v>
      </c>
      <c r="B17" s="324"/>
      <c r="C17" s="324"/>
      <c r="D17" s="324"/>
      <c r="E17" s="324"/>
      <c r="F17" s="324"/>
      <c r="G17" s="324"/>
      <c r="H17" s="324"/>
      <c r="I17" s="324"/>
      <c r="J17" s="324"/>
      <c r="K17" s="324"/>
      <c r="L17" s="324"/>
      <c r="M17" s="324"/>
      <c r="O17" s="30"/>
      <c r="P17" s="30"/>
    </row>
    <row r="18" spans="1:16" ht="28.35" customHeight="1">
      <c r="A18" s="196"/>
      <c r="B18" s="196"/>
      <c r="C18" s="196"/>
      <c r="D18" s="196"/>
      <c r="E18" s="196"/>
      <c r="F18" s="196"/>
      <c r="G18" s="196"/>
      <c r="H18" s="196"/>
      <c r="I18" s="196"/>
      <c r="J18" s="196"/>
      <c r="K18" s="196"/>
      <c r="L18" s="196"/>
      <c r="M18" s="196"/>
      <c r="O18" s="30"/>
      <c r="P18" s="30"/>
    </row>
  </sheetData>
  <mergeCells count="22">
    <mergeCell ref="F15:L15"/>
    <mergeCell ref="F9:L9"/>
    <mergeCell ref="F10:L10"/>
    <mergeCell ref="F11:L11"/>
    <mergeCell ref="F12:L12"/>
    <mergeCell ref="F13:L13"/>
    <mergeCell ref="F16:L16"/>
    <mergeCell ref="A18:M18"/>
    <mergeCell ref="A1:M1"/>
    <mergeCell ref="A2:M2"/>
    <mergeCell ref="A3:M3"/>
    <mergeCell ref="A4:M4"/>
    <mergeCell ref="A5:M5"/>
    <mergeCell ref="B6:C6"/>
    <mergeCell ref="D6:E6"/>
    <mergeCell ref="F6:L6"/>
    <mergeCell ref="F14:L14"/>
    <mergeCell ref="A17:M17"/>
    <mergeCell ref="B7:C7"/>
    <mergeCell ref="D7:E7"/>
    <mergeCell ref="F7:L7"/>
    <mergeCell ref="A8:M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4178-06D8-47E8-BBC7-126B7DA5D0E5}">
  <sheetPr>
    <tabColor rgb="FFFEF5D2"/>
  </sheetPr>
  <dimension ref="A1:V18"/>
  <sheetViews>
    <sheetView zoomScaleNormal="100" workbookViewId="0">
      <selection activeCell="M12" sqref="M12"/>
    </sheetView>
  </sheetViews>
  <sheetFormatPr defaultColWidth="8.85546875" defaultRowHeight="14.45"/>
  <cols>
    <col min="1" max="1" width="24.140625" customWidth="1"/>
    <col min="2" max="2" width="17.5703125" customWidth="1"/>
    <col min="3" max="3" width="11.5703125" customWidth="1"/>
    <col min="4" max="5" width="12.5703125" customWidth="1"/>
    <col min="11" max="11" width="4.7109375" customWidth="1"/>
    <col min="12" max="12" width="8.85546875" hidden="1" customWidth="1"/>
    <col min="13" max="13" width="55.28515625" customWidth="1"/>
    <col min="15" max="15" width="75.5703125" customWidth="1"/>
    <col min="16" max="16" width="21.85546875" customWidth="1"/>
    <col min="17" max="17" width="35.5703125" customWidth="1"/>
    <col min="18" max="19" width="23.85546875" customWidth="1"/>
    <col min="20" max="20" width="27" customWidth="1"/>
    <col min="21" max="21" width="54" customWidth="1"/>
    <col min="22" max="22" width="33" customWidth="1"/>
  </cols>
  <sheetData>
    <row r="1" spans="1:22" ht="18.600000000000001">
      <c r="A1" s="186" t="s">
        <v>461</v>
      </c>
      <c r="B1" s="186"/>
      <c r="C1" s="186"/>
      <c r="D1" s="186"/>
      <c r="E1" s="186"/>
      <c r="F1" s="186"/>
      <c r="G1" s="186"/>
      <c r="H1" s="186"/>
      <c r="I1" s="186"/>
      <c r="J1" s="186"/>
      <c r="K1" s="186"/>
      <c r="L1" s="186"/>
      <c r="M1" s="186"/>
    </row>
    <row r="2" spans="1:22" ht="15.6">
      <c r="A2" s="197"/>
      <c r="B2" s="197"/>
      <c r="C2" s="197"/>
      <c r="D2" s="197"/>
      <c r="E2" s="197"/>
      <c r="F2" s="197"/>
      <c r="G2" s="197"/>
      <c r="H2" s="197"/>
      <c r="I2" s="197"/>
      <c r="J2" s="197"/>
      <c r="K2" s="197"/>
      <c r="L2" s="197"/>
      <c r="M2" s="197"/>
    </row>
    <row r="3" spans="1:22">
      <c r="A3" s="175" t="s">
        <v>72</v>
      </c>
      <c r="B3" s="175"/>
      <c r="C3" s="175"/>
      <c r="D3" s="175"/>
      <c r="E3" s="175"/>
      <c r="F3" s="175"/>
      <c r="G3" s="175"/>
      <c r="H3" s="175"/>
      <c r="I3" s="175"/>
      <c r="J3" s="175"/>
      <c r="K3" s="175"/>
      <c r="L3" s="175"/>
      <c r="M3" s="175"/>
    </row>
    <row r="4" spans="1:22" ht="93" customHeight="1">
      <c r="A4" s="196" t="s">
        <v>462</v>
      </c>
      <c r="B4" s="196"/>
      <c r="C4" s="196"/>
      <c r="D4" s="196"/>
      <c r="E4" s="196"/>
      <c r="F4" s="196"/>
      <c r="G4" s="196"/>
      <c r="H4" s="196"/>
      <c r="I4" s="196"/>
      <c r="J4" s="196"/>
      <c r="K4" s="196"/>
      <c r="L4" s="196"/>
      <c r="M4" s="196"/>
    </row>
    <row r="5" spans="1:22">
      <c r="A5" s="187" t="s">
        <v>74</v>
      </c>
      <c r="B5" s="187"/>
      <c r="C5" s="187"/>
      <c r="D5" s="187"/>
      <c r="E5" s="187"/>
      <c r="F5" s="187"/>
      <c r="G5" s="187"/>
      <c r="H5" s="187"/>
      <c r="I5" s="187"/>
      <c r="J5" s="187"/>
      <c r="K5" s="187"/>
      <c r="L5" s="187"/>
      <c r="M5" s="187"/>
    </row>
    <row r="6" spans="1:22">
      <c r="A6" s="72" t="s">
        <v>75</v>
      </c>
      <c r="B6" s="250" t="s">
        <v>76</v>
      </c>
      <c r="C6" s="252"/>
      <c r="D6" s="322" t="s">
        <v>77</v>
      </c>
      <c r="E6" s="323"/>
      <c r="F6" s="185" t="s">
        <v>78</v>
      </c>
      <c r="G6" s="185"/>
      <c r="H6" s="185"/>
      <c r="I6" s="185"/>
      <c r="J6" s="185"/>
      <c r="K6" s="185"/>
      <c r="L6" s="185"/>
      <c r="M6" s="1" t="s">
        <v>128</v>
      </c>
    </row>
    <row r="7" spans="1:22" ht="90.6" customHeight="1">
      <c r="A7" s="3" t="s">
        <v>240</v>
      </c>
      <c r="B7" s="218" t="s">
        <v>456</v>
      </c>
      <c r="C7" s="220"/>
      <c r="D7" s="325">
        <v>0.65</v>
      </c>
      <c r="E7" s="326"/>
      <c r="F7" s="327" t="s">
        <v>445</v>
      </c>
      <c r="G7" s="213"/>
      <c r="H7" s="213"/>
      <c r="I7" s="213"/>
      <c r="J7" s="213"/>
      <c r="K7" s="213"/>
      <c r="L7" s="213"/>
      <c r="M7" s="43" t="s">
        <v>463</v>
      </c>
    </row>
    <row r="8" spans="1:22" ht="18.95" customHeight="1">
      <c r="A8" s="175" t="s">
        <v>85</v>
      </c>
      <c r="B8" s="175"/>
      <c r="C8" s="175"/>
      <c r="D8" s="175"/>
      <c r="E8" s="175"/>
      <c r="F8" s="175"/>
      <c r="G8" s="175"/>
      <c r="H8" s="175"/>
      <c r="I8" s="175"/>
      <c r="J8" s="175"/>
      <c r="K8" s="175"/>
      <c r="L8" s="175"/>
      <c r="M8" s="175"/>
      <c r="Q8" s="45"/>
      <c r="S8" s="45"/>
      <c r="T8" s="45"/>
      <c r="U8" s="45"/>
      <c r="V8" s="109"/>
    </row>
    <row r="9" spans="1:22" ht="17.45" customHeight="1">
      <c r="A9" s="31" t="s">
        <v>75</v>
      </c>
      <c r="B9" s="31" t="s">
        <v>76</v>
      </c>
      <c r="C9" s="31" t="s">
        <v>38</v>
      </c>
      <c r="D9" s="31" t="s">
        <v>39</v>
      </c>
      <c r="E9" s="32" t="s">
        <v>40</v>
      </c>
      <c r="F9" s="214" t="s">
        <v>78</v>
      </c>
      <c r="G9" s="214"/>
      <c r="H9" s="214"/>
      <c r="I9" s="214"/>
      <c r="J9" s="214"/>
      <c r="K9" s="214"/>
      <c r="L9" s="214"/>
      <c r="M9" s="32" t="s">
        <v>79</v>
      </c>
      <c r="P9" s="62"/>
      <c r="Q9" s="62"/>
      <c r="R9" s="62"/>
      <c r="S9" s="45"/>
      <c r="U9" s="63"/>
      <c r="V9" s="110"/>
    </row>
    <row r="10" spans="1:22" ht="24" customHeight="1">
      <c r="A10" s="3" t="s">
        <v>86</v>
      </c>
      <c r="B10" s="3" t="s">
        <v>87</v>
      </c>
      <c r="C10" s="3"/>
      <c r="D10" s="3"/>
      <c r="E10" s="59">
        <v>10</v>
      </c>
      <c r="F10" s="207" t="s">
        <v>445</v>
      </c>
      <c r="G10" s="177"/>
      <c r="H10" s="177"/>
      <c r="I10" s="177"/>
      <c r="J10" s="177"/>
      <c r="K10" s="177"/>
      <c r="L10" s="177"/>
      <c r="M10" s="3"/>
      <c r="P10" s="62"/>
      <c r="Q10" s="62"/>
      <c r="R10" s="62"/>
      <c r="S10" s="45"/>
      <c r="U10" s="63"/>
      <c r="V10" s="110"/>
    </row>
    <row r="11" spans="1:22" ht="131.1" customHeight="1">
      <c r="A11" s="3" t="s">
        <v>130</v>
      </c>
      <c r="B11" s="3" t="s">
        <v>458</v>
      </c>
      <c r="C11" s="51">
        <v>0.36</v>
      </c>
      <c r="D11" s="88">
        <v>1.085</v>
      </c>
      <c r="E11" s="51">
        <v>0.52</v>
      </c>
      <c r="F11" s="327" t="s">
        <v>445</v>
      </c>
      <c r="G11" s="213"/>
      <c r="H11" s="213"/>
      <c r="I11" s="213"/>
      <c r="J11" s="213"/>
      <c r="K11" s="213"/>
      <c r="L11" s="213"/>
      <c r="M11" s="43" t="s">
        <v>464</v>
      </c>
      <c r="N11" s="42"/>
      <c r="P11" s="62"/>
      <c r="Q11" s="62"/>
      <c r="R11" s="62"/>
      <c r="S11" s="45"/>
      <c r="U11" s="63"/>
      <c r="V11" s="110"/>
    </row>
    <row r="12" spans="1:22" ht="141" customHeight="1">
      <c r="A12" s="3" t="s">
        <v>133</v>
      </c>
      <c r="B12" s="3" t="s">
        <v>458</v>
      </c>
      <c r="C12" s="51">
        <v>0.16</v>
      </c>
      <c r="D12" s="88">
        <v>1.605</v>
      </c>
      <c r="E12" s="51">
        <v>0.35</v>
      </c>
      <c r="F12" s="207" t="s">
        <v>445</v>
      </c>
      <c r="G12" s="177"/>
      <c r="H12" s="177"/>
      <c r="I12" s="177"/>
      <c r="J12" s="177"/>
      <c r="K12" s="177"/>
      <c r="L12" s="177"/>
      <c r="M12" s="43" t="s">
        <v>459</v>
      </c>
      <c r="N12" s="30"/>
      <c r="O12" s="30"/>
      <c r="P12" s="62"/>
      <c r="Q12" s="62"/>
      <c r="R12" s="62"/>
      <c r="S12" s="45"/>
      <c r="U12" s="63"/>
      <c r="V12" s="110"/>
    </row>
    <row r="13" spans="1:22" ht="29.1" customHeight="1">
      <c r="A13" s="3" t="s">
        <v>96</v>
      </c>
      <c r="B13" s="3" t="s">
        <v>458</v>
      </c>
      <c r="C13" s="51">
        <f>C11+C12</f>
        <v>0.52</v>
      </c>
      <c r="D13" s="51">
        <f t="shared" ref="D13:E13" si="0">D11+D12</f>
        <v>2.69</v>
      </c>
      <c r="E13" s="51">
        <f t="shared" si="0"/>
        <v>0.87</v>
      </c>
      <c r="F13" s="210"/>
      <c r="G13" s="210"/>
      <c r="H13" s="210"/>
      <c r="I13" s="210"/>
      <c r="J13" s="210"/>
      <c r="K13" s="210"/>
      <c r="L13" s="210"/>
      <c r="M13" s="14"/>
      <c r="O13" s="30"/>
      <c r="P13" s="64"/>
      <c r="Q13" s="64"/>
      <c r="R13" s="64"/>
      <c r="S13" s="37"/>
      <c r="T13" s="65"/>
      <c r="U13" s="66"/>
      <c r="V13" s="110"/>
    </row>
    <row r="14" spans="1:22" ht="15.95" customHeight="1">
      <c r="A14" s="96" t="s">
        <v>97</v>
      </c>
      <c r="B14" s="74"/>
      <c r="C14" s="74"/>
      <c r="D14" s="74"/>
      <c r="E14" s="74"/>
      <c r="F14" s="204"/>
      <c r="G14" s="205"/>
      <c r="H14" s="205"/>
      <c r="I14" s="205"/>
      <c r="J14" s="205"/>
      <c r="K14" s="205"/>
      <c r="L14" s="206"/>
      <c r="M14" s="74"/>
      <c r="O14" s="30"/>
      <c r="P14" s="30"/>
    </row>
    <row r="15" spans="1:22" ht="14.45" customHeight="1">
      <c r="A15" s="31" t="s">
        <v>75</v>
      </c>
      <c r="B15" s="31" t="s">
        <v>76</v>
      </c>
      <c r="C15" s="31" t="s">
        <v>38</v>
      </c>
      <c r="D15" s="31" t="s">
        <v>39</v>
      </c>
      <c r="E15" s="1" t="s">
        <v>40</v>
      </c>
      <c r="F15" s="178" t="s">
        <v>98</v>
      </c>
      <c r="G15" s="178"/>
      <c r="H15" s="178"/>
      <c r="I15" s="178"/>
      <c r="J15" s="178"/>
      <c r="K15" s="178"/>
      <c r="L15" s="178"/>
      <c r="M15" s="1"/>
      <c r="O15" s="30"/>
      <c r="P15" s="30"/>
      <c r="T15" s="42"/>
    </row>
    <row r="16" spans="1:22" ht="29.1">
      <c r="A16" s="8" t="s">
        <v>362</v>
      </c>
      <c r="B16" s="3" t="s">
        <v>460</v>
      </c>
      <c r="C16" s="51">
        <f>C13/$D$7</f>
        <v>0.8</v>
      </c>
      <c r="D16" s="51">
        <f t="shared" ref="D16:E16" si="1">D13/$D$7</f>
        <v>4.138461538461538</v>
      </c>
      <c r="E16" s="51">
        <f t="shared" si="1"/>
        <v>1.3384615384615384</v>
      </c>
      <c r="F16" s="211"/>
      <c r="G16" s="211"/>
      <c r="H16" s="211"/>
      <c r="I16" s="211"/>
      <c r="J16" s="211"/>
      <c r="K16" s="211"/>
      <c r="L16" s="211"/>
      <c r="M16" s="15"/>
      <c r="N16" s="42"/>
      <c r="O16" s="30"/>
      <c r="P16" s="30"/>
    </row>
    <row r="17" spans="1:16" ht="14.45" customHeight="1">
      <c r="A17" s="324" t="s">
        <v>105</v>
      </c>
      <c r="B17" s="324"/>
      <c r="C17" s="324"/>
      <c r="D17" s="324"/>
      <c r="E17" s="324"/>
      <c r="F17" s="324"/>
      <c r="G17" s="324"/>
      <c r="H17" s="324"/>
      <c r="I17" s="324"/>
      <c r="J17" s="324"/>
      <c r="K17" s="324"/>
      <c r="L17" s="324"/>
      <c r="M17" s="324"/>
      <c r="O17" s="30"/>
      <c r="P17" s="30"/>
    </row>
    <row r="18" spans="1:16" ht="28.35" customHeight="1">
      <c r="A18" s="196"/>
      <c r="B18" s="196"/>
      <c r="C18" s="196"/>
      <c r="D18" s="196"/>
      <c r="E18" s="196"/>
      <c r="F18" s="196"/>
      <c r="G18" s="196"/>
      <c r="H18" s="196"/>
      <c r="I18" s="196"/>
      <c r="J18" s="196"/>
      <c r="K18" s="196"/>
      <c r="L18" s="196"/>
      <c r="M18" s="196"/>
      <c r="O18" s="30"/>
      <c r="P18" s="30"/>
    </row>
  </sheetData>
  <mergeCells count="22">
    <mergeCell ref="F16:L16"/>
    <mergeCell ref="A17:M17"/>
    <mergeCell ref="A18:M18"/>
    <mergeCell ref="F11:L11"/>
    <mergeCell ref="F12:L12"/>
    <mergeCell ref="F13:L13"/>
    <mergeCell ref="F14:L14"/>
    <mergeCell ref="F15:L15"/>
    <mergeCell ref="F10:L10"/>
    <mergeCell ref="A1:M1"/>
    <mergeCell ref="A2:M2"/>
    <mergeCell ref="A3:M3"/>
    <mergeCell ref="A4:M4"/>
    <mergeCell ref="A5:M5"/>
    <mergeCell ref="B6:C6"/>
    <mergeCell ref="D6:E6"/>
    <mergeCell ref="F6:L6"/>
    <mergeCell ref="B7:C7"/>
    <mergeCell ref="D7:E7"/>
    <mergeCell ref="F7:L7"/>
    <mergeCell ref="A8:M8"/>
    <mergeCell ref="F9:L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3767-50BA-429D-83C5-8927C6394766}">
  <sheetPr>
    <tabColor rgb="FFFFE1CC"/>
  </sheetPr>
  <dimension ref="A1:P17"/>
  <sheetViews>
    <sheetView zoomScaleNormal="100" workbookViewId="0">
      <selection activeCell="M11" sqref="M11"/>
    </sheetView>
  </sheetViews>
  <sheetFormatPr defaultColWidth="8.85546875" defaultRowHeight="14.45"/>
  <cols>
    <col min="1" max="1" width="24.140625" customWidth="1"/>
    <col min="2" max="2" width="17.5703125" customWidth="1"/>
    <col min="3" max="3" width="11.5703125" customWidth="1"/>
    <col min="4" max="5" width="12.5703125" customWidth="1"/>
    <col min="11" max="11" width="7.28515625" customWidth="1"/>
    <col min="12" max="12" width="5.140625" hidden="1" customWidth="1"/>
    <col min="13" max="13" width="65" customWidth="1"/>
  </cols>
  <sheetData>
    <row r="1" spans="1:16" ht="18.600000000000001">
      <c r="A1" s="186" t="s">
        <v>465</v>
      </c>
      <c r="B1" s="186"/>
      <c r="C1" s="186"/>
      <c r="D1" s="186"/>
      <c r="E1" s="186"/>
      <c r="F1" s="186"/>
      <c r="G1" s="186"/>
      <c r="H1" s="186"/>
      <c r="I1" s="186"/>
      <c r="J1" s="186"/>
      <c r="K1" s="186"/>
      <c r="L1" s="186"/>
      <c r="M1" s="186"/>
    </row>
    <row r="2" spans="1:16" ht="15.6">
      <c r="A2" s="197"/>
      <c r="B2" s="197"/>
      <c r="C2" s="197"/>
      <c r="D2" s="197"/>
      <c r="E2" s="197"/>
      <c r="F2" s="197"/>
      <c r="G2" s="197"/>
      <c r="H2" s="197"/>
      <c r="I2" s="197"/>
      <c r="J2" s="197"/>
      <c r="K2" s="197"/>
      <c r="L2" s="197"/>
      <c r="M2" s="197"/>
    </row>
    <row r="3" spans="1:16">
      <c r="A3" s="175" t="s">
        <v>72</v>
      </c>
      <c r="B3" s="175"/>
      <c r="C3" s="175"/>
      <c r="D3" s="175"/>
      <c r="E3" s="175"/>
      <c r="F3" s="175"/>
      <c r="G3" s="175"/>
      <c r="H3" s="175"/>
      <c r="I3" s="175"/>
      <c r="J3" s="175"/>
      <c r="K3" s="175"/>
      <c r="L3" s="175"/>
      <c r="M3" s="175"/>
    </row>
    <row r="4" spans="1:16" ht="63" customHeight="1">
      <c r="A4" s="196" t="s">
        <v>466</v>
      </c>
      <c r="B4" s="196"/>
      <c r="C4" s="196"/>
      <c r="D4" s="196"/>
      <c r="E4" s="196"/>
      <c r="F4" s="196"/>
      <c r="G4" s="196"/>
      <c r="H4" s="196"/>
      <c r="I4" s="196"/>
      <c r="J4" s="196"/>
      <c r="K4" s="196"/>
      <c r="L4" s="196"/>
      <c r="M4" s="196"/>
    </row>
    <row r="5" spans="1:16">
      <c r="A5" s="187" t="s">
        <v>74</v>
      </c>
      <c r="B5" s="187"/>
      <c r="C5" s="187"/>
      <c r="D5" s="187"/>
      <c r="E5" s="187"/>
      <c r="F5" s="187"/>
      <c r="G5" s="187"/>
      <c r="H5" s="187"/>
      <c r="I5" s="187"/>
      <c r="J5" s="187"/>
      <c r="K5" s="187"/>
      <c r="L5" s="187"/>
      <c r="M5" s="187"/>
    </row>
    <row r="6" spans="1:16">
      <c r="A6" s="72" t="s">
        <v>75</v>
      </c>
      <c r="B6" s="198" t="s">
        <v>76</v>
      </c>
      <c r="C6" s="198"/>
      <c r="D6" s="184" t="s">
        <v>77</v>
      </c>
      <c r="E6" s="184"/>
      <c r="F6" s="185" t="s">
        <v>78</v>
      </c>
      <c r="G6" s="185"/>
      <c r="H6" s="185"/>
      <c r="I6" s="185"/>
      <c r="J6" s="185"/>
      <c r="K6" s="185"/>
      <c r="L6" s="185"/>
      <c r="M6" s="1" t="s">
        <v>128</v>
      </c>
    </row>
    <row r="7" spans="1:16">
      <c r="A7" s="3" t="s">
        <v>240</v>
      </c>
      <c r="B7" s="177"/>
      <c r="C7" s="177"/>
      <c r="D7" s="195"/>
      <c r="E7" s="195"/>
      <c r="F7" s="294"/>
      <c r="G7" s="176"/>
      <c r="H7" s="176"/>
      <c r="I7" s="176"/>
      <c r="J7" s="176"/>
      <c r="K7" s="176"/>
      <c r="L7" s="176"/>
      <c r="M7" s="15" t="s">
        <v>467</v>
      </c>
    </row>
    <row r="8" spans="1:16">
      <c r="A8" s="175" t="s">
        <v>85</v>
      </c>
      <c r="B8" s="175"/>
      <c r="C8" s="175"/>
      <c r="D8" s="175"/>
      <c r="E8" s="175"/>
      <c r="F8" s="175"/>
      <c r="G8" s="175"/>
      <c r="H8" s="175"/>
      <c r="I8" s="175"/>
      <c r="J8" s="175"/>
      <c r="K8" s="175"/>
      <c r="L8" s="175"/>
      <c r="M8" s="175"/>
    </row>
    <row r="9" spans="1:16">
      <c r="A9" s="31" t="s">
        <v>75</v>
      </c>
      <c r="B9" s="31" t="s">
        <v>76</v>
      </c>
      <c r="C9" s="31" t="s">
        <v>38</v>
      </c>
      <c r="D9" s="31" t="s">
        <v>39</v>
      </c>
      <c r="E9" s="32" t="s">
        <v>40</v>
      </c>
      <c r="F9" s="185" t="s">
        <v>78</v>
      </c>
      <c r="G9" s="185"/>
      <c r="H9" s="185"/>
      <c r="I9" s="185"/>
      <c r="J9" s="185"/>
      <c r="K9" s="185"/>
      <c r="L9" s="185"/>
      <c r="M9" s="1" t="s">
        <v>79</v>
      </c>
    </row>
    <row r="10" spans="1:16" ht="87">
      <c r="A10" s="3" t="s">
        <v>86</v>
      </c>
      <c r="B10" s="3" t="s">
        <v>87</v>
      </c>
      <c r="C10" s="3"/>
      <c r="D10" s="3"/>
      <c r="E10" s="59" t="s">
        <v>437</v>
      </c>
      <c r="F10" s="207"/>
      <c r="G10" s="177"/>
      <c r="H10" s="177"/>
      <c r="I10" s="177"/>
      <c r="J10" s="177"/>
      <c r="K10" s="177"/>
      <c r="L10" s="177"/>
      <c r="M10" s="3" t="s">
        <v>468</v>
      </c>
    </row>
    <row r="11" spans="1:16" ht="198" customHeight="1">
      <c r="A11" s="3" t="s">
        <v>469</v>
      </c>
      <c r="B11" s="3" t="s">
        <v>149</v>
      </c>
      <c r="C11" s="82">
        <v>7.7000000000000002E-3</v>
      </c>
      <c r="D11" s="51">
        <v>0.03</v>
      </c>
      <c r="E11" s="82">
        <f>AVERAGE(C11,D11,0.014,0.014)</f>
        <v>1.6424999999999999E-2</v>
      </c>
      <c r="F11" s="299" t="s">
        <v>470</v>
      </c>
      <c r="G11" s="213"/>
      <c r="H11" s="213"/>
      <c r="I11" s="213"/>
      <c r="J11" s="213"/>
      <c r="K11" s="213"/>
      <c r="L11" s="213"/>
      <c r="M11" s="13" t="s">
        <v>471</v>
      </c>
      <c r="N11" s="42"/>
    </row>
    <row r="12" spans="1:16" ht="29.1" customHeight="1">
      <c r="A12" s="3" t="s">
        <v>96</v>
      </c>
      <c r="B12" s="3" t="s">
        <v>149</v>
      </c>
      <c r="C12" s="82">
        <f>C11</f>
        <v>7.7000000000000002E-3</v>
      </c>
      <c r="D12" s="51">
        <f t="shared" ref="D12:E12" si="0">D11</f>
        <v>0.03</v>
      </c>
      <c r="E12" s="82">
        <f t="shared" si="0"/>
        <v>1.6424999999999999E-2</v>
      </c>
      <c r="F12" s="210"/>
      <c r="G12" s="210"/>
      <c r="H12" s="210"/>
      <c r="I12" s="210"/>
      <c r="J12" s="210"/>
      <c r="K12" s="210"/>
      <c r="L12" s="210"/>
      <c r="M12" s="14"/>
      <c r="O12" s="30"/>
      <c r="P12" s="30"/>
    </row>
    <row r="13" spans="1:16">
      <c r="A13" s="74" t="s">
        <v>97</v>
      </c>
      <c r="B13" s="74"/>
      <c r="C13" s="74"/>
      <c r="D13" s="74"/>
      <c r="E13" s="74"/>
      <c r="F13" s="204"/>
      <c r="G13" s="205"/>
      <c r="H13" s="205"/>
      <c r="I13" s="205"/>
      <c r="J13" s="205"/>
      <c r="K13" s="205"/>
      <c r="L13" s="206"/>
      <c r="M13" s="74"/>
      <c r="O13" s="30"/>
      <c r="P13" s="30"/>
    </row>
    <row r="14" spans="1:16" ht="14.45" customHeight="1">
      <c r="A14" s="31" t="s">
        <v>75</v>
      </c>
      <c r="B14" s="31" t="s">
        <v>76</v>
      </c>
      <c r="C14" s="31" t="s">
        <v>38</v>
      </c>
      <c r="D14" s="31" t="s">
        <v>39</v>
      </c>
      <c r="E14" s="1" t="s">
        <v>40</v>
      </c>
      <c r="F14" s="178" t="s">
        <v>98</v>
      </c>
      <c r="G14" s="178"/>
      <c r="H14" s="178"/>
      <c r="I14" s="178"/>
      <c r="J14" s="178"/>
      <c r="K14" s="178"/>
      <c r="L14" s="178"/>
      <c r="M14" s="1"/>
      <c r="O14" s="30"/>
      <c r="P14" s="30"/>
    </row>
    <row r="15" spans="1:16" ht="29.1">
      <c r="A15" s="3" t="s">
        <v>362</v>
      </c>
      <c r="B15" s="3" t="s">
        <v>405</v>
      </c>
      <c r="C15" s="82">
        <f>C12</f>
        <v>7.7000000000000002E-3</v>
      </c>
      <c r="D15" s="82">
        <f t="shared" ref="D15:E15" si="1">D12</f>
        <v>0.03</v>
      </c>
      <c r="E15" s="82">
        <f t="shared" si="1"/>
        <v>1.6424999999999999E-2</v>
      </c>
      <c r="F15" s="211"/>
      <c r="G15" s="211"/>
      <c r="H15" s="211"/>
      <c r="I15" s="211"/>
      <c r="J15" s="211"/>
      <c r="K15" s="211"/>
      <c r="L15" s="211"/>
      <c r="M15" s="15"/>
      <c r="O15" s="30"/>
      <c r="P15" s="30"/>
    </row>
    <row r="16" spans="1:16">
      <c r="A16" s="175" t="s">
        <v>105</v>
      </c>
      <c r="B16" s="175"/>
      <c r="C16" s="175"/>
      <c r="D16" s="175"/>
      <c r="E16" s="175"/>
      <c r="F16" s="175"/>
      <c r="G16" s="175"/>
      <c r="H16" s="175"/>
      <c r="I16" s="175"/>
      <c r="J16" s="175"/>
      <c r="K16" s="175"/>
      <c r="L16" s="175"/>
      <c r="M16" s="175"/>
      <c r="O16" s="30"/>
      <c r="P16" s="30"/>
    </row>
    <row r="17" spans="1:16" ht="90.95" customHeight="1">
      <c r="A17" s="196" t="s">
        <v>472</v>
      </c>
      <c r="B17" s="196"/>
      <c r="C17" s="196"/>
      <c r="D17" s="196"/>
      <c r="E17" s="196"/>
      <c r="F17" s="196"/>
      <c r="G17" s="196"/>
      <c r="H17" s="196"/>
      <c r="I17" s="196"/>
      <c r="J17" s="196"/>
      <c r="K17" s="196"/>
      <c r="L17" s="196"/>
      <c r="M17" s="196"/>
      <c r="O17" s="30"/>
      <c r="P17" s="30"/>
    </row>
  </sheetData>
  <mergeCells count="21">
    <mergeCell ref="F10:L10"/>
    <mergeCell ref="A1:M1"/>
    <mergeCell ref="A2:M2"/>
    <mergeCell ref="A3:M3"/>
    <mergeCell ref="A4:M4"/>
    <mergeCell ref="A5:M5"/>
    <mergeCell ref="B6:C6"/>
    <mergeCell ref="D6:E6"/>
    <mergeCell ref="F6:L6"/>
    <mergeCell ref="B7:C7"/>
    <mergeCell ref="D7:E7"/>
    <mergeCell ref="F7:L7"/>
    <mergeCell ref="A8:M8"/>
    <mergeCell ref="F9:L9"/>
    <mergeCell ref="A17:M17"/>
    <mergeCell ref="F11:L11"/>
    <mergeCell ref="F12:L12"/>
    <mergeCell ref="F14:L14"/>
    <mergeCell ref="F15:L15"/>
    <mergeCell ref="A16:M16"/>
    <mergeCell ref="F13:L1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08E2-316B-4242-8A37-52C3DF2D8D9B}">
  <sheetPr>
    <tabColor rgb="FFFFE1CC"/>
  </sheetPr>
  <dimension ref="A1:S24"/>
  <sheetViews>
    <sheetView zoomScaleNormal="100" workbookViewId="0">
      <selection activeCell="N5" sqref="N5"/>
    </sheetView>
  </sheetViews>
  <sheetFormatPr defaultColWidth="8.85546875" defaultRowHeight="14.45"/>
  <cols>
    <col min="1" max="1" width="24.140625" customWidth="1"/>
    <col min="2" max="2" width="17.5703125" customWidth="1"/>
    <col min="3" max="3" width="11.5703125" customWidth="1"/>
    <col min="4" max="5" width="12.5703125" customWidth="1"/>
    <col min="12" max="12" width="7" customWidth="1"/>
    <col min="13" max="13" width="51.42578125" customWidth="1"/>
  </cols>
  <sheetData>
    <row r="1" spans="1:19" ht="18.600000000000001">
      <c r="A1" s="237" t="s">
        <v>473</v>
      </c>
      <c r="B1" s="238"/>
      <c r="C1" s="238"/>
      <c r="D1" s="238"/>
      <c r="E1" s="238"/>
      <c r="F1" s="238"/>
      <c r="G1" s="238"/>
      <c r="H1" s="238"/>
      <c r="I1" s="238"/>
      <c r="J1" s="238"/>
      <c r="K1" s="238"/>
      <c r="L1" s="238"/>
      <c r="M1" s="238"/>
    </row>
    <row r="2" spans="1:19" ht="15.6">
      <c r="A2" s="239"/>
      <c r="B2" s="240"/>
      <c r="C2" s="240"/>
      <c r="D2" s="240"/>
      <c r="E2" s="240"/>
      <c r="F2" s="240"/>
      <c r="G2" s="240"/>
      <c r="H2" s="240"/>
      <c r="I2" s="240"/>
      <c r="J2" s="240"/>
      <c r="K2" s="240"/>
      <c r="L2" s="240"/>
      <c r="M2" s="241"/>
    </row>
    <row r="3" spans="1:19">
      <c r="A3" s="242" t="s">
        <v>72</v>
      </c>
      <c r="B3" s="221"/>
      <c r="C3" s="221"/>
      <c r="D3" s="221"/>
      <c r="E3" s="221"/>
      <c r="F3" s="221"/>
      <c r="G3" s="221"/>
      <c r="H3" s="221"/>
      <c r="I3" s="221"/>
      <c r="J3" s="221"/>
      <c r="K3" s="221"/>
      <c r="L3" s="221"/>
      <c r="M3" s="221"/>
    </row>
    <row r="4" spans="1:19" ht="33.6" customHeight="1">
      <c r="A4" s="218" t="s">
        <v>474</v>
      </c>
      <c r="B4" s="219"/>
      <c r="C4" s="219"/>
      <c r="D4" s="219"/>
      <c r="E4" s="219"/>
      <c r="F4" s="219"/>
      <c r="G4" s="219"/>
      <c r="H4" s="219"/>
      <c r="I4" s="219"/>
      <c r="J4" s="219"/>
      <c r="K4" s="219"/>
      <c r="L4" s="219"/>
      <c r="M4" s="220"/>
    </row>
    <row r="5" spans="1:19">
      <c r="A5" s="243" t="s">
        <v>74</v>
      </c>
      <c r="B5" s="244"/>
      <c r="C5" s="244"/>
      <c r="D5" s="244"/>
      <c r="E5" s="244"/>
      <c r="F5" s="244"/>
      <c r="G5" s="244"/>
      <c r="H5" s="244"/>
      <c r="I5" s="244"/>
      <c r="J5" s="244"/>
      <c r="K5" s="244"/>
      <c r="L5" s="244"/>
      <c r="M5" s="244"/>
    </row>
    <row r="6" spans="1:19">
      <c r="A6" s="27" t="s">
        <v>75</v>
      </c>
      <c r="B6" s="245" t="s">
        <v>76</v>
      </c>
      <c r="C6" s="246"/>
      <c r="D6" s="184" t="s">
        <v>77</v>
      </c>
      <c r="E6" s="184"/>
      <c r="F6" s="247" t="s">
        <v>78</v>
      </c>
      <c r="G6" s="248"/>
      <c r="H6" s="248"/>
      <c r="I6" s="248"/>
      <c r="J6" s="248"/>
      <c r="K6" s="248"/>
      <c r="L6" s="249"/>
      <c r="M6" s="1" t="s">
        <v>128</v>
      </c>
    </row>
    <row r="7" spans="1:19">
      <c r="A7" s="3" t="s">
        <v>80</v>
      </c>
      <c r="B7" s="218" t="s">
        <v>344</v>
      </c>
      <c r="C7" s="219"/>
      <c r="D7" s="195">
        <v>25</v>
      </c>
      <c r="E7" s="195"/>
      <c r="F7" s="309"/>
      <c r="G7" s="289"/>
      <c r="H7" s="289"/>
      <c r="I7" s="289"/>
      <c r="J7" s="289"/>
      <c r="K7" s="289"/>
      <c r="L7" s="290"/>
      <c r="M7" s="15" t="s">
        <v>475</v>
      </c>
    </row>
    <row r="8" spans="1:19">
      <c r="A8" s="221" t="s">
        <v>85</v>
      </c>
      <c r="B8" s="221"/>
      <c r="C8" s="221"/>
      <c r="D8" s="221"/>
      <c r="E8" s="221"/>
      <c r="F8" s="221"/>
      <c r="G8" s="221"/>
      <c r="H8" s="221"/>
      <c r="I8" s="221"/>
      <c r="J8" s="221"/>
      <c r="K8" s="221"/>
      <c r="L8" s="221"/>
      <c r="M8" s="222"/>
    </row>
    <row r="9" spans="1:19">
      <c r="A9" s="31" t="s">
        <v>75</v>
      </c>
      <c r="B9" s="31" t="s">
        <v>76</v>
      </c>
      <c r="C9" s="31" t="s">
        <v>38</v>
      </c>
      <c r="D9" s="31" t="s">
        <v>39</v>
      </c>
      <c r="E9" s="32" t="s">
        <v>40</v>
      </c>
      <c r="F9" s="247" t="s">
        <v>78</v>
      </c>
      <c r="G9" s="248"/>
      <c r="H9" s="248"/>
      <c r="I9" s="248"/>
      <c r="J9" s="248"/>
      <c r="K9" s="248"/>
      <c r="L9" s="248"/>
      <c r="M9" s="1" t="s">
        <v>79</v>
      </c>
    </row>
    <row r="10" spans="1:19">
      <c r="A10" s="3" t="s">
        <v>86</v>
      </c>
      <c r="B10" s="3" t="s">
        <v>87</v>
      </c>
      <c r="C10" s="11"/>
      <c r="D10" s="11"/>
      <c r="E10" s="52">
        <v>50</v>
      </c>
      <c r="F10" s="192" t="s">
        <v>476</v>
      </c>
      <c r="G10" s="219"/>
      <c r="H10" s="219"/>
      <c r="I10" s="219"/>
      <c r="J10" s="219"/>
      <c r="K10" s="219"/>
      <c r="L10" s="219"/>
      <c r="M10" s="3"/>
    </row>
    <row r="11" spans="1:19" ht="138.94999999999999" customHeight="1">
      <c r="A11" s="8" t="s">
        <v>130</v>
      </c>
      <c r="B11" s="3" t="s">
        <v>348</v>
      </c>
      <c r="C11" s="53">
        <v>200</v>
      </c>
      <c r="D11" s="53">
        <v>3000</v>
      </c>
      <c r="E11" s="53">
        <f>AVERAGE(C11:D11)</f>
        <v>1600</v>
      </c>
      <c r="F11" s="310" t="s">
        <v>477</v>
      </c>
      <c r="G11" s="254"/>
      <c r="H11" s="254"/>
      <c r="I11" s="254"/>
      <c r="J11" s="254"/>
      <c r="K11" s="254"/>
      <c r="L11" s="255"/>
      <c r="M11" s="13" t="s">
        <v>478</v>
      </c>
    </row>
    <row r="12" spans="1:19" ht="77.45" customHeight="1">
      <c r="A12" s="8" t="s">
        <v>133</v>
      </c>
      <c r="B12" s="3" t="s">
        <v>348</v>
      </c>
      <c r="C12" s="53">
        <f>C11*0.0033</f>
        <v>0.66</v>
      </c>
      <c r="D12" s="102">
        <f t="shared" ref="D12:E12" si="0">D11*0.0033</f>
        <v>9.9</v>
      </c>
      <c r="E12" s="102">
        <f t="shared" si="0"/>
        <v>5.28</v>
      </c>
      <c r="F12" s="192" t="s">
        <v>479</v>
      </c>
      <c r="G12" s="216"/>
      <c r="H12" s="216"/>
      <c r="I12" s="216"/>
      <c r="J12" s="216"/>
      <c r="K12" s="216"/>
      <c r="L12" s="217"/>
      <c r="M12" s="34" t="s">
        <v>480</v>
      </c>
      <c r="N12" s="30"/>
      <c r="O12" s="30"/>
      <c r="P12" s="30"/>
      <c r="Q12" s="30"/>
      <c r="R12" s="30"/>
      <c r="S12" s="30"/>
    </row>
    <row r="13" spans="1:19" ht="29.1" customHeight="1">
      <c r="A13" s="22" t="s">
        <v>96</v>
      </c>
      <c r="B13" s="3" t="s">
        <v>348</v>
      </c>
      <c r="C13" s="50">
        <f>(-PMT('Parameters &amp; assumpties'!$B$8, $E10,C11))+$C12</f>
        <v>7.0246419407393139</v>
      </c>
      <c r="D13" s="50">
        <f>(-PMT('Parameters &amp; assumpties'!$B$8, $E10,D11))+$D12</f>
        <v>105.36962911108972</v>
      </c>
      <c r="E13" s="50">
        <f>(-PMT('Parameters &amp; assumpties'!$B$8, $E10,E11))+$E12</f>
        <v>56.197135525914511</v>
      </c>
      <c r="F13" s="278"/>
      <c r="G13" s="279"/>
      <c r="H13" s="279"/>
      <c r="I13" s="279"/>
      <c r="J13" s="279"/>
      <c r="K13" s="279"/>
      <c r="L13" s="280"/>
      <c r="M13" s="14"/>
      <c r="O13" s="30"/>
      <c r="P13" s="30"/>
    </row>
    <row r="14" spans="1:19">
      <c r="A14" s="10" t="s">
        <v>97</v>
      </c>
      <c r="B14" s="10"/>
      <c r="C14" s="10"/>
      <c r="D14" s="10"/>
      <c r="E14" s="10"/>
      <c r="F14" s="10"/>
      <c r="G14" s="10"/>
      <c r="H14" s="10"/>
      <c r="I14" s="10"/>
      <c r="J14" s="10"/>
      <c r="K14" s="10"/>
      <c r="L14" s="10"/>
      <c r="M14" s="24"/>
      <c r="O14" s="30"/>
      <c r="P14" s="30"/>
    </row>
    <row r="15" spans="1:19" ht="14.45" customHeight="1">
      <c r="A15" s="19" t="s">
        <v>75</v>
      </c>
      <c r="B15" s="20" t="s">
        <v>76</v>
      </c>
      <c r="C15" s="20" t="s">
        <v>38</v>
      </c>
      <c r="D15" s="20" t="s">
        <v>39</v>
      </c>
      <c r="E15" s="21" t="s">
        <v>40</v>
      </c>
      <c r="F15" s="268" t="s">
        <v>98</v>
      </c>
      <c r="G15" s="269"/>
      <c r="H15" s="269"/>
      <c r="I15" s="269"/>
      <c r="J15" s="269"/>
      <c r="K15" s="269"/>
      <c r="L15" s="270"/>
      <c r="M15" s="1"/>
      <c r="O15" s="30"/>
      <c r="P15" s="30"/>
    </row>
    <row r="16" spans="1:19" ht="29.1">
      <c r="A16" s="8" t="s">
        <v>287</v>
      </c>
      <c r="B16" s="16" t="s">
        <v>288</v>
      </c>
      <c r="C16" s="50">
        <f>C13/$D$7</f>
        <v>0.28098567762957255</v>
      </c>
      <c r="D16" s="50">
        <f>D13/$D$7</f>
        <v>4.2147851644435885</v>
      </c>
      <c r="E16" s="50">
        <f>E13/$D$7</f>
        <v>2.2478854210365804</v>
      </c>
      <c r="F16" s="281"/>
      <c r="G16" s="282"/>
      <c r="H16" s="282"/>
      <c r="I16" s="282"/>
      <c r="J16" s="282"/>
      <c r="K16" s="282"/>
      <c r="L16" s="283"/>
      <c r="M16" s="15"/>
      <c r="O16" s="30"/>
      <c r="P16" s="30"/>
    </row>
    <row r="17" spans="1:16">
      <c r="A17" s="221" t="s">
        <v>105</v>
      </c>
      <c r="B17" s="221"/>
      <c r="C17" s="221"/>
      <c r="D17" s="221"/>
      <c r="E17" s="221"/>
      <c r="F17" s="221"/>
      <c r="G17" s="221"/>
      <c r="H17" s="221"/>
      <c r="I17" s="221"/>
      <c r="J17" s="221"/>
      <c r="K17" s="221"/>
      <c r="L17" s="221"/>
      <c r="M17" s="222"/>
      <c r="O17" s="30"/>
      <c r="P17" s="30"/>
    </row>
    <row r="18" spans="1:16" ht="16.5" customHeight="1">
      <c r="A18" s="172"/>
      <c r="B18" s="173"/>
      <c r="C18" s="173"/>
      <c r="D18" s="173"/>
      <c r="E18" s="173"/>
      <c r="F18" s="173"/>
      <c r="G18" s="173"/>
      <c r="H18" s="173"/>
      <c r="I18" s="173"/>
      <c r="J18" s="173"/>
      <c r="K18" s="173"/>
      <c r="L18" s="173"/>
      <c r="M18" s="174"/>
      <c r="O18" s="30"/>
      <c r="P18" s="30"/>
    </row>
    <row r="19" spans="1:16">
      <c r="A19" s="221" t="s">
        <v>107</v>
      </c>
      <c r="B19" s="221"/>
      <c r="C19" s="221"/>
      <c r="D19" s="221"/>
      <c r="E19" s="221"/>
      <c r="F19" s="221"/>
      <c r="G19" s="221"/>
      <c r="H19" s="221"/>
      <c r="I19" s="221"/>
      <c r="J19" s="221"/>
      <c r="K19" s="221"/>
      <c r="L19" s="221"/>
      <c r="M19" s="222"/>
      <c r="O19" s="30"/>
      <c r="P19" s="30"/>
    </row>
    <row r="20" spans="1:16">
      <c r="A20" s="17" t="s">
        <v>108</v>
      </c>
      <c r="B20" s="18" t="s">
        <v>109</v>
      </c>
      <c r="C20" s="226" t="s">
        <v>110</v>
      </c>
      <c r="D20" s="227"/>
      <c r="E20" s="227"/>
      <c r="F20" s="227"/>
      <c r="G20" s="227"/>
      <c r="H20" s="227"/>
      <c r="I20" s="227"/>
      <c r="J20" s="227"/>
      <c r="K20" s="227"/>
      <c r="L20" s="228"/>
      <c r="M20" s="47" t="s">
        <v>78</v>
      </c>
      <c r="O20" s="30"/>
      <c r="P20" s="30"/>
    </row>
    <row r="21" spans="1:16">
      <c r="A21" s="58" t="s">
        <v>481</v>
      </c>
      <c r="B21" s="58" t="s">
        <v>219</v>
      </c>
      <c r="C21" s="213" t="s">
        <v>482</v>
      </c>
      <c r="D21" s="213"/>
      <c r="E21" s="213"/>
      <c r="F21" s="213"/>
      <c r="G21" s="213"/>
      <c r="H21" s="213"/>
      <c r="I21" s="213"/>
      <c r="J21" s="213"/>
      <c r="K21" s="213"/>
      <c r="L21" s="213"/>
      <c r="M21" s="46"/>
    </row>
    <row r="22" spans="1:16">
      <c r="A22" s="58" t="s">
        <v>111</v>
      </c>
      <c r="B22" s="58" t="s">
        <v>112</v>
      </c>
      <c r="C22" s="213" t="s">
        <v>483</v>
      </c>
      <c r="D22" s="213"/>
      <c r="E22" s="213"/>
      <c r="F22" s="213"/>
      <c r="G22" s="213"/>
      <c r="H22" s="213"/>
      <c r="I22" s="213"/>
      <c r="J22" s="213"/>
      <c r="K22" s="213"/>
      <c r="L22" s="213"/>
      <c r="M22" s="58"/>
    </row>
    <row r="23" spans="1:16">
      <c r="A23" s="58" t="s">
        <v>484</v>
      </c>
      <c r="B23" s="58" t="s">
        <v>112</v>
      </c>
      <c r="C23" s="253" t="s">
        <v>485</v>
      </c>
      <c r="D23" s="254"/>
      <c r="E23" s="254"/>
      <c r="F23" s="254"/>
      <c r="G23" s="254"/>
      <c r="H23" s="254"/>
      <c r="I23" s="254"/>
      <c r="J23" s="254"/>
      <c r="K23" s="254"/>
      <c r="L23" s="255"/>
      <c r="M23" s="58" t="s">
        <v>486</v>
      </c>
    </row>
    <row r="24" spans="1:16">
      <c r="A24" s="58" t="s">
        <v>296</v>
      </c>
      <c r="B24" s="58" t="s">
        <v>112</v>
      </c>
      <c r="C24" s="213" t="s">
        <v>487</v>
      </c>
      <c r="D24" s="213"/>
      <c r="E24" s="213"/>
      <c r="F24" s="213"/>
      <c r="G24" s="213"/>
      <c r="H24" s="213"/>
      <c r="I24" s="213"/>
      <c r="J24" s="213"/>
      <c r="K24" s="213"/>
      <c r="L24" s="213"/>
      <c r="M24" s="58"/>
    </row>
  </sheetData>
  <mergeCells count="27">
    <mergeCell ref="F11:L11"/>
    <mergeCell ref="F10:L10"/>
    <mergeCell ref="A1:M1"/>
    <mergeCell ref="A2:M2"/>
    <mergeCell ref="A3:M3"/>
    <mergeCell ref="A4:M4"/>
    <mergeCell ref="A5:M5"/>
    <mergeCell ref="B6:C6"/>
    <mergeCell ref="D6:E6"/>
    <mergeCell ref="F6:L6"/>
    <mergeCell ref="B7:C7"/>
    <mergeCell ref="D7:E7"/>
    <mergeCell ref="F7:L7"/>
    <mergeCell ref="A8:M8"/>
    <mergeCell ref="F9:L9"/>
    <mergeCell ref="F12:L12"/>
    <mergeCell ref="F13:L13"/>
    <mergeCell ref="F15:L15"/>
    <mergeCell ref="F16:L16"/>
    <mergeCell ref="C21:L21"/>
    <mergeCell ref="A17:M17"/>
    <mergeCell ref="C22:L22"/>
    <mergeCell ref="C24:L24"/>
    <mergeCell ref="C23:L23"/>
    <mergeCell ref="A18:M18"/>
    <mergeCell ref="A19:M19"/>
    <mergeCell ref="C20:L20"/>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536E-4792-4519-B4F8-FAA15B3F7A30}">
  <sheetPr codeName="Sheet8">
    <tabColor rgb="FFFEF5D2"/>
  </sheetPr>
  <dimension ref="A1:N30"/>
  <sheetViews>
    <sheetView zoomScaleNormal="100" workbookViewId="0">
      <selection activeCell="M12" sqref="M12"/>
    </sheetView>
  </sheetViews>
  <sheetFormatPr defaultRowHeight="14.45"/>
  <cols>
    <col min="1" max="1" width="24.140625" customWidth="1"/>
    <col min="2" max="2" width="17.5703125" customWidth="1"/>
    <col min="3" max="3" width="11.5703125" customWidth="1"/>
    <col min="4" max="5" width="12.5703125" customWidth="1"/>
    <col min="13" max="13" width="39.140625" customWidth="1"/>
  </cols>
  <sheetData>
    <row r="1" spans="1:14" ht="18.600000000000001">
      <c r="A1" s="186" t="s">
        <v>488</v>
      </c>
      <c r="B1" s="186"/>
      <c r="C1" s="186"/>
      <c r="D1" s="186"/>
      <c r="E1" s="186"/>
      <c r="F1" s="186"/>
      <c r="G1" s="186"/>
      <c r="H1" s="186"/>
      <c r="I1" s="186"/>
      <c r="J1" s="186"/>
      <c r="K1" s="186"/>
      <c r="L1" s="186"/>
      <c r="M1" s="186"/>
    </row>
    <row r="2" spans="1:14" ht="15.6">
      <c r="A2" s="197"/>
      <c r="B2" s="197"/>
      <c r="C2" s="197"/>
      <c r="D2" s="197"/>
      <c r="E2" s="197"/>
      <c r="F2" s="197"/>
      <c r="G2" s="197"/>
      <c r="H2" s="197"/>
      <c r="I2" s="197"/>
      <c r="J2" s="197"/>
      <c r="K2" s="197"/>
      <c r="L2" s="197"/>
      <c r="M2" s="197"/>
    </row>
    <row r="3" spans="1:14">
      <c r="A3" s="175" t="s">
        <v>72</v>
      </c>
      <c r="B3" s="175"/>
      <c r="C3" s="175"/>
      <c r="D3" s="175"/>
      <c r="E3" s="175"/>
      <c r="F3" s="175"/>
      <c r="G3" s="175"/>
      <c r="H3" s="175"/>
      <c r="I3" s="175"/>
      <c r="J3" s="175"/>
      <c r="K3" s="175"/>
      <c r="L3" s="175"/>
      <c r="M3" s="175"/>
    </row>
    <row r="4" spans="1:14" ht="78" customHeight="1">
      <c r="A4" s="196" t="s">
        <v>489</v>
      </c>
      <c r="B4" s="196"/>
      <c r="C4" s="196"/>
      <c r="D4" s="196"/>
      <c r="E4" s="196"/>
      <c r="F4" s="196"/>
      <c r="G4" s="196"/>
      <c r="H4" s="196"/>
      <c r="I4" s="196"/>
      <c r="J4" s="196"/>
      <c r="K4" s="196"/>
      <c r="L4" s="196"/>
      <c r="M4" s="196"/>
    </row>
    <row r="5" spans="1:14">
      <c r="A5" s="187" t="s">
        <v>74</v>
      </c>
      <c r="B5" s="187"/>
      <c r="C5" s="187"/>
      <c r="D5" s="187"/>
      <c r="E5" s="187"/>
      <c r="F5" s="187"/>
      <c r="G5" s="187"/>
      <c r="H5" s="187"/>
      <c r="I5" s="187"/>
      <c r="J5" s="187"/>
      <c r="K5" s="187"/>
      <c r="L5" s="187"/>
      <c r="M5" s="187"/>
    </row>
    <row r="6" spans="1:14">
      <c r="A6" s="72" t="s">
        <v>75</v>
      </c>
      <c r="B6" s="198" t="s">
        <v>76</v>
      </c>
      <c r="C6" s="198"/>
      <c r="D6" s="184" t="s">
        <v>77</v>
      </c>
      <c r="E6" s="184"/>
      <c r="F6" s="185" t="s">
        <v>78</v>
      </c>
      <c r="G6" s="185"/>
      <c r="H6" s="185"/>
      <c r="I6" s="185"/>
      <c r="J6" s="185"/>
      <c r="K6" s="185"/>
      <c r="L6" s="185"/>
      <c r="M6" s="1" t="s">
        <v>128</v>
      </c>
    </row>
    <row r="7" spans="1:14" ht="29.1" customHeight="1">
      <c r="A7" s="3" t="s">
        <v>83</v>
      </c>
      <c r="B7" s="218" t="s">
        <v>223</v>
      </c>
      <c r="C7" s="220"/>
      <c r="D7" s="257">
        <v>0.64</v>
      </c>
      <c r="E7" s="258"/>
      <c r="F7" s="263" t="s">
        <v>490</v>
      </c>
      <c r="G7" s="193"/>
      <c r="H7" s="193"/>
      <c r="I7" s="193"/>
      <c r="J7" s="193"/>
      <c r="K7" s="193"/>
      <c r="L7" s="194"/>
      <c r="M7" s="111" t="s">
        <v>491</v>
      </c>
    </row>
    <row r="8" spans="1:14">
      <c r="A8" s="3" t="s">
        <v>80</v>
      </c>
      <c r="B8" s="177" t="s">
        <v>223</v>
      </c>
      <c r="C8" s="177"/>
      <c r="D8" s="195">
        <f>50/10000</f>
        <v>5.0000000000000001E-3</v>
      </c>
      <c r="E8" s="195"/>
      <c r="F8" s="307" t="s">
        <v>492</v>
      </c>
      <c r="G8" s="307"/>
      <c r="H8" s="307"/>
      <c r="I8" s="307"/>
      <c r="J8" s="307"/>
      <c r="K8" s="307"/>
      <c r="L8" s="307"/>
      <c r="M8" s="15"/>
    </row>
    <row r="9" spans="1:14">
      <c r="A9" s="175" t="s">
        <v>85</v>
      </c>
      <c r="B9" s="175"/>
      <c r="C9" s="175"/>
      <c r="D9" s="175"/>
      <c r="E9" s="175"/>
      <c r="F9" s="175"/>
      <c r="G9" s="175"/>
      <c r="H9" s="175"/>
      <c r="I9" s="175"/>
      <c r="J9" s="175"/>
      <c r="K9" s="175"/>
      <c r="L9" s="175"/>
      <c r="M9" s="175"/>
    </row>
    <row r="10" spans="1:14">
      <c r="A10" s="31" t="s">
        <v>75</v>
      </c>
      <c r="B10" s="31" t="s">
        <v>76</v>
      </c>
      <c r="C10" s="31" t="s">
        <v>38</v>
      </c>
      <c r="D10" s="31" t="s">
        <v>39</v>
      </c>
      <c r="E10" s="32" t="s">
        <v>40</v>
      </c>
      <c r="F10" s="185" t="s">
        <v>78</v>
      </c>
      <c r="G10" s="185"/>
      <c r="H10" s="185"/>
      <c r="I10" s="185"/>
      <c r="J10" s="185"/>
      <c r="K10" s="185"/>
      <c r="L10" s="185"/>
      <c r="M10" s="1" t="s">
        <v>79</v>
      </c>
    </row>
    <row r="11" spans="1:14">
      <c r="A11" s="3" t="s">
        <v>86</v>
      </c>
      <c r="B11" s="3" t="s">
        <v>87</v>
      </c>
      <c r="C11" s="3"/>
      <c r="D11" s="3"/>
      <c r="E11" s="59">
        <v>50</v>
      </c>
      <c r="F11" s="207"/>
      <c r="G11" s="177"/>
      <c r="H11" s="177"/>
      <c r="I11" s="177"/>
      <c r="J11" s="177"/>
      <c r="K11" s="177"/>
      <c r="L11" s="177"/>
      <c r="M11" s="3"/>
    </row>
    <row r="12" spans="1:14" ht="239.1" customHeight="1">
      <c r="A12" s="3" t="s">
        <v>130</v>
      </c>
      <c r="B12" s="3" t="s">
        <v>196</v>
      </c>
      <c r="C12" s="68">
        <v>40</v>
      </c>
      <c r="D12" s="68">
        <v>250</v>
      </c>
      <c r="E12" s="68">
        <v>150</v>
      </c>
      <c r="F12" s="207" t="s">
        <v>493</v>
      </c>
      <c r="G12" s="177"/>
      <c r="H12" s="177"/>
      <c r="I12" s="177"/>
      <c r="J12" s="177"/>
      <c r="K12" s="177"/>
      <c r="L12" s="177"/>
      <c r="M12" s="14" t="s">
        <v>494</v>
      </c>
    </row>
    <row r="13" spans="1:14" ht="53.1" customHeight="1">
      <c r="A13" s="3" t="s">
        <v>133</v>
      </c>
      <c r="B13" s="3" t="s">
        <v>196</v>
      </c>
      <c r="C13" s="86">
        <f t="shared" ref="C13:D13" si="0">C12*0.01</f>
        <v>0.4</v>
      </c>
      <c r="D13" s="86">
        <f t="shared" si="0"/>
        <v>2.5</v>
      </c>
      <c r="E13" s="86">
        <f>E12*0.01</f>
        <v>1.5</v>
      </c>
      <c r="F13" s="177" t="s">
        <v>495</v>
      </c>
      <c r="G13" s="177"/>
      <c r="H13" s="177"/>
      <c r="I13" s="177"/>
      <c r="J13" s="177"/>
      <c r="K13" s="177"/>
      <c r="L13" s="177"/>
      <c r="M13" s="34"/>
      <c r="N13" s="42"/>
    </row>
    <row r="14" spans="1:14" ht="29.1" customHeight="1">
      <c r="A14" s="3" t="s">
        <v>96</v>
      </c>
      <c r="B14" s="3" t="s">
        <v>196</v>
      </c>
      <c r="C14" s="51">
        <f>(-PMT('Parameters &amp; assumpties'!$B$8, $E11,C12))+C13</f>
        <v>1.6729283881478625</v>
      </c>
      <c r="D14" s="51">
        <f>(-PMT('Parameters &amp; assumpties'!$B$8, $E11,D12))+D13</f>
        <v>10.455802425924141</v>
      </c>
      <c r="E14" s="51">
        <f>(-PMT('Parameters &amp; assumpties'!$B$8, $E11,E12))+E13</f>
        <v>6.2734814555544851</v>
      </c>
      <c r="F14" s="210"/>
      <c r="G14" s="210"/>
      <c r="H14" s="210"/>
      <c r="I14" s="210"/>
      <c r="J14" s="210"/>
      <c r="K14" s="210"/>
      <c r="L14" s="210"/>
      <c r="M14" s="14"/>
    </row>
    <row r="15" spans="1:14">
      <c r="A15" s="74" t="s">
        <v>97</v>
      </c>
      <c r="B15" s="74"/>
      <c r="C15" s="74"/>
      <c r="D15" s="74"/>
      <c r="E15" s="74"/>
      <c r="F15" s="204"/>
      <c r="G15" s="205"/>
      <c r="H15" s="205"/>
      <c r="I15" s="205"/>
      <c r="J15" s="205"/>
      <c r="K15" s="205"/>
      <c r="L15" s="206"/>
      <c r="M15" s="74"/>
    </row>
    <row r="16" spans="1:14">
      <c r="A16" s="31" t="s">
        <v>75</v>
      </c>
      <c r="B16" s="31" t="s">
        <v>76</v>
      </c>
      <c r="C16" s="31" t="s">
        <v>38</v>
      </c>
      <c r="D16" s="31" t="s">
        <v>39</v>
      </c>
      <c r="E16" s="1" t="s">
        <v>40</v>
      </c>
      <c r="F16" s="178" t="s">
        <v>98</v>
      </c>
      <c r="G16" s="178"/>
      <c r="H16" s="178"/>
      <c r="I16" s="178"/>
      <c r="J16" s="178"/>
      <c r="K16" s="178"/>
      <c r="L16" s="178"/>
      <c r="M16" s="1"/>
    </row>
    <row r="17" spans="1:13" ht="29.1">
      <c r="A17" s="3" t="s">
        <v>99</v>
      </c>
      <c r="B17" s="3" t="s">
        <v>100</v>
      </c>
      <c r="C17" s="88">
        <f>C14/$D$7</f>
        <v>2.6139506064810352</v>
      </c>
      <c r="D17" s="88">
        <f>D14/$D$7</f>
        <v>16.337191290506471</v>
      </c>
      <c r="E17" s="88">
        <f t="shared" ref="E17" si="1">E14/$D$7</f>
        <v>9.8023147743038823</v>
      </c>
      <c r="F17" s="177"/>
      <c r="G17" s="177"/>
      <c r="H17" s="177"/>
      <c r="I17" s="177"/>
      <c r="J17" s="177"/>
      <c r="K17" s="177"/>
      <c r="L17" s="177"/>
      <c r="M17" s="15"/>
    </row>
    <row r="18" spans="1:13" ht="29.1">
      <c r="A18" s="3" t="s">
        <v>287</v>
      </c>
      <c r="B18" s="3" t="s">
        <v>288</v>
      </c>
      <c r="C18" s="54">
        <f>C14/$D$8</f>
        <v>334.5856776295725</v>
      </c>
      <c r="D18" s="54">
        <f t="shared" ref="D18" si="2">D14/$D$8</f>
        <v>2091.1604851848283</v>
      </c>
      <c r="E18" s="54">
        <f>E14/$D$8</f>
        <v>1254.6962911108969</v>
      </c>
      <c r="F18" s="177"/>
      <c r="G18" s="177"/>
      <c r="H18" s="177"/>
      <c r="I18" s="177"/>
      <c r="J18" s="177"/>
      <c r="K18" s="177"/>
      <c r="L18" s="177"/>
      <c r="M18" s="15"/>
    </row>
    <row r="19" spans="1:13">
      <c r="A19" s="175" t="s">
        <v>105</v>
      </c>
      <c r="B19" s="175"/>
      <c r="C19" s="175"/>
      <c r="D19" s="175"/>
      <c r="E19" s="175"/>
      <c r="F19" s="175"/>
      <c r="G19" s="175"/>
      <c r="H19" s="175"/>
      <c r="I19" s="175"/>
      <c r="J19" s="175"/>
      <c r="K19" s="175"/>
      <c r="L19" s="175"/>
      <c r="M19" s="175"/>
    </row>
    <row r="20" spans="1:13" ht="32.450000000000003" customHeight="1">
      <c r="A20" s="196" t="s">
        <v>496</v>
      </c>
      <c r="B20" s="196"/>
      <c r="C20" s="196"/>
      <c r="D20" s="196"/>
      <c r="E20" s="196"/>
      <c r="F20" s="196"/>
      <c r="G20" s="196"/>
      <c r="H20" s="196"/>
      <c r="I20" s="196"/>
      <c r="J20" s="196"/>
      <c r="K20" s="196"/>
      <c r="L20" s="196"/>
      <c r="M20" s="196"/>
    </row>
    <row r="21" spans="1:13">
      <c r="A21" s="221" t="s">
        <v>107</v>
      </c>
      <c r="B21" s="221"/>
      <c r="C21" s="221"/>
      <c r="D21" s="221"/>
      <c r="E21" s="221"/>
      <c r="F21" s="221"/>
      <c r="G21" s="221"/>
      <c r="H21" s="221"/>
      <c r="I21" s="221"/>
      <c r="J21" s="221"/>
      <c r="K21" s="221"/>
      <c r="L21" s="221"/>
      <c r="M21" s="222"/>
    </row>
    <row r="22" spans="1:13">
      <c r="A22" s="17" t="s">
        <v>108</v>
      </c>
      <c r="B22" s="18" t="s">
        <v>109</v>
      </c>
      <c r="C22" s="226" t="s">
        <v>110</v>
      </c>
      <c r="D22" s="227"/>
      <c r="E22" s="227"/>
      <c r="F22" s="227"/>
      <c r="G22" s="227"/>
      <c r="H22" s="227"/>
      <c r="I22" s="227"/>
      <c r="J22" s="227"/>
      <c r="K22" s="227"/>
      <c r="L22" s="228"/>
      <c r="M22" s="47" t="s">
        <v>78</v>
      </c>
    </row>
    <row r="23" spans="1:13" ht="29.1">
      <c r="A23" s="8" t="s">
        <v>115</v>
      </c>
      <c r="B23" s="6" t="s">
        <v>112</v>
      </c>
      <c r="C23" s="218" t="s">
        <v>116</v>
      </c>
      <c r="D23" s="219"/>
      <c r="E23" s="219"/>
      <c r="F23" s="219"/>
      <c r="G23" s="219"/>
      <c r="H23" s="219"/>
      <c r="I23" s="219"/>
      <c r="J23" s="219"/>
      <c r="K23" s="219"/>
      <c r="L23" s="220"/>
      <c r="M23" s="48" t="s">
        <v>205</v>
      </c>
    </row>
    <row r="24" spans="1:13" ht="29.1">
      <c r="A24" s="2" t="s">
        <v>118</v>
      </c>
      <c r="B24" s="5" t="s">
        <v>112</v>
      </c>
      <c r="C24" s="218" t="s">
        <v>206</v>
      </c>
      <c r="D24" s="219"/>
      <c r="E24" s="219"/>
      <c r="F24" s="219"/>
      <c r="G24" s="219"/>
      <c r="H24" s="219"/>
      <c r="I24" s="219"/>
      <c r="J24" s="219"/>
      <c r="K24" s="219"/>
      <c r="L24" s="220"/>
      <c r="M24" s="48" t="s">
        <v>205</v>
      </c>
    </row>
    <row r="25" spans="1:13" ht="29.1">
      <c r="A25" s="3" t="s">
        <v>120</v>
      </c>
      <c r="B25" s="5" t="s">
        <v>112</v>
      </c>
      <c r="C25" s="218" t="s">
        <v>121</v>
      </c>
      <c r="D25" s="219"/>
      <c r="E25" s="219"/>
      <c r="F25" s="219"/>
      <c r="G25" s="219"/>
      <c r="H25" s="219"/>
      <c r="I25" s="219"/>
      <c r="J25" s="219"/>
      <c r="K25" s="219"/>
      <c r="L25" s="220"/>
      <c r="M25" s="48" t="s">
        <v>204</v>
      </c>
    </row>
    <row r="26" spans="1:13" ht="29.1">
      <c r="A26" s="3" t="s">
        <v>122</v>
      </c>
      <c r="B26" s="5" t="s">
        <v>112</v>
      </c>
      <c r="C26" s="177" t="s">
        <v>123</v>
      </c>
      <c r="D26" s="177"/>
      <c r="E26" s="177"/>
      <c r="F26" s="177"/>
      <c r="G26" s="177"/>
      <c r="H26" s="177"/>
      <c r="I26" s="177"/>
      <c r="J26" s="177"/>
      <c r="K26" s="177"/>
      <c r="L26" s="177"/>
      <c r="M26" s="48" t="s">
        <v>204</v>
      </c>
    </row>
    <row r="27" spans="1:13" ht="29.1">
      <c r="A27" s="3" t="s">
        <v>207</v>
      </c>
      <c r="B27" s="5" t="s">
        <v>112</v>
      </c>
      <c r="C27" s="328" t="s">
        <v>208</v>
      </c>
      <c r="D27" s="329"/>
      <c r="E27" s="329"/>
      <c r="F27" s="329"/>
      <c r="G27" s="329"/>
      <c r="H27" s="329"/>
      <c r="I27" s="329"/>
      <c r="J27" s="329"/>
      <c r="K27" s="329"/>
      <c r="L27" s="330"/>
      <c r="M27" s="48" t="s">
        <v>205</v>
      </c>
    </row>
    <row r="28" spans="1:13" ht="29.1">
      <c r="A28" s="3" t="s">
        <v>124</v>
      </c>
      <c r="B28" s="5" t="s">
        <v>112</v>
      </c>
      <c r="C28" s="218" t="s">
        <v>125</v>
      </c>
      <c r="D28" s="219"/>
      <c r="E28" s="219"/>
      <c r="F28" s="219"/>
      <c r="G28" s="219"/>
      <c r="H28" s="219"/>
      <c r="I28" s="219"/>
      <c r="J28" s="219"/>
      <c r="K28" s="219"/>
      <c r="L28" s="220"/>
      <c r="M28" s="48" t="s">
        <v>205</v>
      </c>
    </row>
    <row r="29" spans="1:13" ht="14.45" customHeight="1">
      <c r="A29" s="3" t="s">
        <v>111</v>
      </c>
      <c r="B29" s="5" t="s">
        <v>112</v>
      </c>
      <c r="C29" s="177" t="s">
        <v>497</v>
      </c>
      <c r="D29" s="177"/>
      <c r="E29" s="177"/>
      <c r="F29" s="177"/>
      <c r="G29" s="177"/>
      <c r="H29" s="177"/>
      <c r="I29" s="177"/>
      <c r="J29" s="177"/>
      <c r="K29" s="177"/>
      <c r="L29" s="177"/>
      <c r="M29" s="48" t="s">
        <v>205</v>
      </c>
    </row>
    <row r="30" spans="1:13" ht="14.45" customHeight="1">
      <c r="A30" s="3" t="s">
        <v>498</v>
      </c>
      <c r="B30" s="5" t="s">
        <v>112</v>
      </c>
      <c r="C30" s="218" t="s">
        <v>499</v>
      </c>
      <c r="D30" s="219"/>
      <c r="E30" s="219"/>
      <c r="F30" s="219"/>
      <c r="G30" s="219"/>
      <c r="H30" s="219"/>
      <c r="I30" s="219"/>
      <c r="J30" s="219"/>
      <c r="K30" s="219"/>
      <c r="L30" s="220"/>
      <c r="M30" s="48" t="s">
        <v>500</v>
      </c>
    </row>
  </sheetData>
  <mergeCells count="36">
    <mergeCell ref="B6:C6"/>
    <mergeCell ref="D6:E6"/>
    <mergeCell ref="F6:L6"/>
    <mergeCell ref="A1:M1"/>
    <mergeCell ref="A2:M2"/>
    <mergeCell ref="A3:M3"/>
    <mergeCell ref="A4:M4"/>
    <mergeCell ref="A5:M5"/>
    <mergeCell ref="C25:L25"/>
    <mergeCell ref="C26:L26"/>
    <mergeCell ref="F11:L11"/>
    <mergeCell ref="F15:L15"/>
    <mergeCell ref="B7:C7"/>
    <mergeCell ref="D7:E7"/>
    <mergeCell ref="F7:L7"/>
    <mergeCell ref="B8:C8"/>
    <mergeCell ref="D8:E8"/>
    <mergeCell ref="F8:L8"/>
    <mergeCell ref="A9:M9"/>
    <mergeCell ref="F10:L10"/>
    <mergeCell ref="C30:L30"/>
    <mergeCell ref="C27:L27"/>
    <mergeCell ref="C28:L28"/>
    <mergeCell ref="C22:L22"/>
    <mergeCell ref="F12:L12"/>
    <mergeCell ref="F13:L13"/>
    <mergeCell ref="C29:L29"/>
    <mergeCell ref="F14:L14"/>
    <mergeCell ref="A19:M19"/>
    <mergeCell ref="A20:M20"/>
    <mergeCell ref="A21:M21"/>
    <mergeCell ref="F16:L16"/>
    <mergeCell ref="F17:L17"/>
    <mergeCell ref="F18:L18"/>
    <mergeCell ref="C23:L23"/>
    <mergeCell ref="C24:L24"/>
  </mergeCells>
  <hyperlinks>
    <hyperlink ref="M30" r:id="rId1" display="https://doemee.ivn.nl/whitepaper-groene-schoolpleinen" xr:uid="{005D369E-8487-41A1-B3BC-DA38817307C8}"/>
    <hyperlink ref="M27" r:id="rId2" display="https://omgeving.vlaanderen.be/waarom-ontharden" xr:uid="{65CA1D83-C25D-45FE-9A1D-358DE880D75C}"/>
    <hyperlink ref="M26" r:id="rId3" display="https://blauwgroenvlaanderen.be/bewoners/maatregelen/onthard-je-oprit-en-terras/" xr:uid="{EBC2429B-9FCE-485A-A7D5-02726FB92DB2}"/>
    <hyperlink ref="M25" r:id="rId4" display="https://blauwgroenvlaanderen.be/bewoners/maatregelen/onthard-je-oprit-en-terras/" xr:uid="{3076F831-2D67-4CAC-AC36-A17CC8F14092}"/>
    <hyperlink ref="M28" r:id="rId5" display="https://omgeving.vlaanderen.be/waarom-ontharden" xr:uid="{299AF1CA-21B9-49D5-BEC3-BBBA2CE71D30}"/>
    <hyperlink ref="M23" r:id="rId6" display="https://omgeving.vlaanderen.be/waarom-ontharden" xr:uid="{F4B733F4-264F-4E7A-88E5-334DD4DD4A62}"/>
    <hyperlink ref="M24" r:id="rId7" display="https://omgeving.vlaanderen.be/waarom-ontharden" xr:uid="{D11FB26A-23D1-4111-8124-213C0A9E44F7}"/>
    <hyperlink ref="M29" r:id="rId8" display="https://omgeving.vlaanderen.be/waarom-ontharden" xr:uid="{F1DE9CB6-DA8C-4AF8-8DDE-533A8936B235}"/>
    <hyperlink ref="F7" r:id="rId9" xr:uid="{2BCB17A6-7448-4276-9711-4291AB667DC7}"/>
  </hyperlinks>
  <pageMargins left="0.7" right="0.7" top="0.75" bottom="0.75" header="0.3" footer="0.3"/>
  <pageSetup paperSize="9" orientation="portrait" r:id="rId1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79D4-CC6A-4DBC-9B09-C703F24C63FE}">
  <dimension ref="A1:N61"/>
  <sheetViews>
    <sheetView workbookViewId="0">
      <selection activeCell="B48" sqref="B48"/>
    </sheetView>
  </sheetViews>
  <sheetFormatPr defaultRowHeight="14.45"/>
  <cols>
    <col min="1" max="2" width="8.85546875" style="121" customWidth="1"/>
    <col min="3" max="3" width="8.7109375" style="119"/>
    <col min="4" max="4" width="19.140625" style="119" customWidth="1"/>
    <col min="5" max="5" width="19" style="121" customWidth="1"/>
    <col min="6" max="6" width="25.28515625" style="121" customWidth="1"/>
    <col min="7" max="7" width="25.140625" style="121" customWidth="1"/>
    <col min="8" max="8" width="27.28515625" style="121" customWidth="1"/>
    <col min="9" max="9" width="15.7109375" style="121" customWidth="1"/>
    <col min="10" max="10" width="18.140625" style="121" customWidth="1"/>
    <col min="11" max="11" width="18.5703125" style="121" customWidth="1"/>
    <col min="12" max="12" width="25.7109375" style="119" customWidth="1"/>
    <col min="13" max="13" width="41.140625" style="121" customWidth="1"/>
    <col min="14" max="14" width="41.5703125" style="121" customWidth="1"/>
  </cols>
  <sheetData>
    <row r="1" spans="1:14">
      <c r="A1" s="120" t="s">
        <v>501</v>
      </c>
      <c r="B1" s="120" t="s">
        <v>502</v>
      </c>
      <c r="C1" s="118" t="s">
        <v>263</v>
      </c>
      <c r="D1" s="118" t="s">
        <v>25</v>
      </c>
      <c r="E1" s="120" t="s">
        <v>503</v>
      </c>
      <c r="F1" s="120" t="s">
        <v>504</v>
      </c>
      <c r="G1" s="120" t="s">
        <v>505</v>
      </c>
      <c r="H1" s="120" t="s">
        <v>506</v>
      </c>
      <c r="I1" s="120" t="s">
        <v>507</v>
      </c>
      <c r="J1" s="120" t="s">
        <v>508</v>
      </c>
      <c r="K1" s="123" t="s">
        <v>509</v>
      </c>
      <c r="L1" s="118" t="s">
        <v>510</v>
      </c>
      <c r="M1" s="120" t="s">
        <v>511</v>
      </c>
      <c r="N1" s="120" t="s">
        <v>512</v>
      </c>
    </row>
    <row r="2" spans="1:14">
      <c r="A2" s="121">
        <v>1</v>
      </c>
      <c r="B2" s="121" t="s">
        <v>126</v>
      </c>
      <c r="C2" s="119" t="s">
        <v>265</v>
      </c>
      <c r="D2" s="119" t="s">
        <v>513</v>
      </c>
      <c r="E2" s="121">
        <v>250</v>
      </c>
      <c r="F2" s="121">
        <v>250</v>
      </c>
      <c r="G2" s="121">
        <v>0</v>
      </c>
      <c r="H2" s="121">
        <v>0</v>
      </c>
      <c r="I2" s="121">
        <v>0</v>
      </c>
      <c r="J2" s="121" t="s">
        <v>514</v>
      </c>
      <c r="K2" s="124">
        <v>400</v>
      </c>
      <c r="L2" s="119" t="str">
        <f>InputSirio[[#This Row],[Type]]&amp;InputSirio[[#This Row],[GSV]]&amp;InputSirio[[#This Row],[Klimaatscenario]]&amp;InputSirio[[#This Row],[infiltratiecapaciteit]]</f>
        <v>BHuidigHuidig scenarioKlei</v>
      </c>
      <c r="M2" s="121">
        <v>3268.9261072570825</v>
      </c>
      <c r="N2" s="121">
        <f t="shared" ref="N2:N33" si="0">M2/10000</f>
        <v>0.32689261072570824</v>
      </c>
    </row>
    <row r="3" spans="1:14">
      <c r="A3" s="121">
        <v>1</v>
      </c>
      <c r="B3" s="121" t="s">
        <v>126</v>
      </c>
      <c r="C3" s="119" t="s">
        <v>265</v>
      </c>
      <c r="D3" s="119" t="s">
        <v>26</v>
      </c>
      <c r="E3" s="121">
        <v>250</v>
      </c>
      <c r="F3" s="121">
        <v>250</v>
      </c>
      <c r="G3" s="121">
        <v>0</v>
      </c>
      <c r="H3" s="121">
        <v>0</v>
      </c>
      <c r="I3" s="121">
        <v>0</v>
      </c>
      <c r="J3" s="121" t="s">
        <v>514</v>
      </c>
      <c r="K3" s="124">
        <v>400</v>
      </c>
      <c r="L3" s="119" t="str">
        <f>InputSirio[[#This Row],[Type]]&amp;InputSirio[[#This Row],[GSV]]&amp;InputSirio[[#This Row],[Klimaatscenario]]&amp;InputSirio[[#This Row],[infiltratiecapaciteit]]</f>
        <v>BHuidigToekomstig scenarioKlei</v>
      </c>
      <c r="M3" s="121">
        <v>3204.5160128816729</v>
      </c>
      <c r="N3" s="121">
        <f t="shared" si="0"/>
        <v>0.3204516012881673</v>
      </c>
    </row>
    <row r="4" spans="1:14">
      <c r="A4" s="121">
        <v>1</v>
      </c>
      <c r="B4" s="121" t="s">
        <v>126</v>
      </c>
      <c r="C4" s="119" t="s">
        <v>265</v>
      </c>
      <c r="D4" s="119" t="s">
        <v>513</v>
      </c>
      <c r="E4" s="121">
        <v>250</v>
      </c>
      <c r="F4" s="121">
        <v>250</v>
      </c>
      <c r="G4" s="121">
        <v>0</v>
      </c>
      <c r="H4" s="121">
        <v>0</v>
      </c>
      <c r="I4" s="121">
        <v>0</v>
      </c>
      <c r="J4" s="121" t="s">
        <v>515</v>
      </c>
      <c r="K4" s="124">
        <v>400</v>
      </c>
      <c r="L4" s="119" t="str">
        <f>InputSirio[[#This Row],[Type]]&amp;InputSirio[[#This Row],[GSV]]&amp;InputSirio[[#This Row],[Klimaatscenario]]&amp;InputSirio[[#This Row],[infiltratiecapaciteit]]</f>
        <v>BHuidigHuidig scenarioLeem</v>
      </c>
      <c r="M4" s="121">
        <v>5850.3538313567451</v>
      </c>
      <c r="N4" s="121">
        <f t="shared" si="0"/>
        <v>0.58503538313567449</v>
      </c>
    </row>
    <row r="5" spans="1:14">
      <c r="A5" s="121">
        <v>1</v>
      </c>
      <c r="B5" s="121" t="s">
        <v>126</v>
      </c>
      <c r="C5" s="119" t="s">
        <v>265</v>
      </c>
      <c r="D5" s="119" t="s">
        <v>26</v>
      </c>
      <c r="E5" s="121">
        <v>250</v>
      </c>
      <c r="F5" s="121">
        <v>250</v>
      </c>
      <c r="G5" s="121">
        <v>0</v>
      </c>
      <c r="H5" s="121">
        <v>0</v>
      </c>
      <c r="I5" s="121">
        <v>0</v>
      </c>
      <c r="J5" s="121" t="s">
        <v>515</v>
      </c>
      <c r="K5" s="124">
        <v>400</v>
      </c>
      <c r="L5" s="119" t="str">
        <f>InputSirio[[#This Row],[Type]]&amp;InputSirio[[#This Row],[GSV]]&amp;InputSirio[[#This Row],[Klimaatscenario]]&amp;InputSirio[[#This Row],[infiltratiecapaciteit]]</f>
        <v>BHuidigToekomstig scenarioLeem</v>
      </c>
      <c r="M5" s="121">
        <v>5554.7543301556007</v>
      </c>
      <c r="N5" s="121">
        <f t="shared" si="0"/>
        <v>0.55547543301556002</v>
      </c>
    </row>
    <row r="6" spans="1:14">
      <c r="A6" s="121">
        <v>1</v>
      </c>
      <c r="B6" s="121" t="s">
        <v>126</v>
      </c>
      <c r="C6" s="119" t="s">
        <v>265</v>
      </c>
      <c r="D6" s="119" t="s">
        <v>513</v>
      </c>
      <c r="E6" s="121">
        <v>250</v>
      </c>
      <c r="F6" s="121">
        <v>250</v>
      </c>
      <c r="G6" s="121">
        <v>0</v>
      </c>
      <c r="H6" s="121">
        <v>0</v>
      </c>
      <c r="I6" s="121">
        <v>0</v>
      </c>
      <c r="J6" s="121" t="s">
        <v>23</v>
      </c>
      <c r="K6" s="124">
        <v>400</v>
      </c>
      <c r="L6" s="119" t="str">
        <f>InputSirio[[#This Row],[Type]]&amp;InputSirio[[#This Row],[GSV]]&amp;InputSirio[[#This Row],[Klimaatscenario]]&amp;InputSirio[[#This Row],[infiltratiecapaciteit]]</f>
        <v>BHuidigHuidig scenarioZandige leem</v>
      </c>
      <c r="M6" s="121">
        <v>6083.3959836162321</v>
      </c>
      <c r="N6" s="121">
        <f t="shared" si="0"/>
        <v>0.60833959836162321</v>
      </c>
    </row>
    <row r="7" spans="1:14">
      <c r="A7" s="121">
        <v>1</v>
      </c>
      <c r="B7" s="121" t="s">
        <v>126</v>
      </c>
      <c r="C7" s="119" t="s">
        <v>265</v>
      </c>
      <c r="D7" s="119" t="s">
        <v>26</v>
      </c>
      <c r="E7" s="121">
        <v>250</v>
      </c>
      <c r="F7" s="121">
        <v>250</v>
      </c>
      <c r="G7" s="121">
        <v>0</v>
      </c>
      <c r="H7" s="121">
        <v>0</v>
      </c>
      <c r="I7" s="121">
        <v>0</v>
      </c>
      <c r="J7" s="121" t="s">
        <v>23</v>
      </c>
      <c r="K7" s="124">
        <v>400</v>
      </c>
      <c r="L7" s="119" t="str">
        <f>InputSirio[[#This Row],[Type]]&amp;InputSirio[[#This Row],[GSV]]&amp;InputSirio[[#This Row],[Klimaatscenario]]&amp;InputSirio[[#This Row],[infiltratiecapaciteit]]</f>
        <v>BHuidigToekomstig scenarioZandige leem</v>
      </c>
      <c r="M7" s="121">
        <v>5778.5446732586133</v>
      </c>
      <c r="N7" s="121">
        <f t="shared" si="0"/>
        <v>0.57785446732586132</v>
      </c>
    </row>
    <row r="8" spans="1:14">
      <c r="A8" s="121">
        <v>1</v>
      </c>
      <c r="B8" s="121" t="s">
        <v>126</v>
      </c>
      <c r="C8" s="119" t="s">
        <v>265</v>
      </c>
      <c r="D8" s="119" t="s">
        <v>513</v>
      </c>
      <c r="E8" s="121">
        <v>250</v>
      </c>
      <c r="F8" s="121">
        <v>250</v>
      </c>
      <c r="G8" s="121">
        <v>0</v>
      </c>
      <c r="H8" s="121">
        <v>0</v>
      </c>
      <c r="I8" s="121">
        <v>0</v>
      </c>
      <c r="J8" s="121" t="s">
        <v>516</v>
      </c>
      <c r="K8" s="124">
        <v>400</v>
      </c>
      <c r="L8" s="119" t="str">
        <f>InputSirio[[#This Row],[Type]]&amp;InputSirio[[#This Row],[GSV]]&amp;InputSirio[[#This Row],[Klimaatscenario]]&amp;InputSirio[[#This Row],[infiltratiecapaciteit]]</f>
        <v>BHuidigHuidig scenarioFijn zand</v>
      </c>
      <c r="M8" s="121">
        <v>6154.5443449249542</v>
      </c>
      <c r="N8" s="121">
        <f t="shared" si="0"/>
        <v>0.61545443449249537</v>
      </c>
    </row>
    <row r="9" spans="1:14">
      <c r="A9" s="121">
        <v>1</v>
      </c>
      <c r="B9" s="121" t="s">
        <v>126</v>
      </c>
      <c r="C9" s="119" t="s">
        <v>265</v>
      </c>
      <c r="D9" s="119" t="s">
        <v>26</v>
      </c>
      <c r="E9" s="121">
        <v>250</v>
      </c>
      <c r="F9" s="121">
        <v>250</v>
      </c>
      <c r="G9" s="121">
        <v>0</v>
      </c>
      <c r="H9" s="121">
        <v>0</v>
      </c>
      <c r="I9" s="121">
        <v>0</v>
      </c>
      <c r="J9" s="121" t="s">
        <v>516</v>
      </c>
      <c r="K9" s="124">
        <v>400</v>
      </c>
      <c r="L9" s="119" t="str">
        <f>InputSirio[[#This Row],[Type]]&amp;InputSirio[[#This Row],[GSV]]&amp;InputSirio[[#This Row],[Klimaatscenario]]&amp;InputSirio[[#This Row],[infiltratiecapaciteit]]</f>
        <v>BHuidigToekomstig scenarioFijn zand</v>
      </c>
      <c r="M9" s="121">
        <v>5850.574302280389</v>
      </c>
      <c r="N9" s="121">
        <f t="shared" si="0"/>
        <v>0.58505743022803891</v>
      </c>
    </row>
    <row r="10" spans="1:14">
      <c r="A10" s="121">
        <v>1</v>
      </c>
      <c r="B10" s="121" t="s">
        <v>126</v>
      </c>
      <c r="C10" s="119" t="s">
        <v>265</v>
      </c>
      <c r="D10" s="119" t="s">
        <v>513</v>
      </c>
      <c r="E10" s="121">
        <v>250</v>
      </c>
      <c r="F10" s="121">
        <v>250</v>
      </c>
      <c r="G10" s="121">
        <v>0</v>
      </c>
      <c r="H10" s="121">
        <v>0</v>
      </c>
      <c r="I10" s="121">
        <v>0</v>
      </c>
      <c r="J10" s="121" t="s">
        <v>517</v>
      </c>
      <c r="K10" s="124">
        <v>400</v>
      </c>
      <c r="L10" s="119" t="str">
        <f>InputSirio[[#This Row],[Type]]&amp;InputSirio[[#This Row],[GSV]]&amp;InputSirio[[#This Row],[Klimaatscenario]]&amp;InputSirio[[#This Row],[infiltratiecapaciteit]]</f>
        <v>BHuidigHuidig scenarioZand</v>
      </c>
      <c r="M10" s="121">
        <v>6204.7812804157766</v>
      </c>
      <c r="N10" s="121">
        <f t="shared" si="0"/>
        <v>0.62047812804157765</v>
      </c>
    </row>
    <row r="11" spans="1:14">
      <c r="A11" s="121">
        <v>1</v>
      </c>
      <c r="B11" s="121" t="s">
        <v>126</v>
      </c>
      <c r="C11" s="119" t="s">
        <v>265</v>
      </c>
      <c r="D11" s="119" t="s">
        <v>26</v>
      </c>
      <c r="E11" s="121">
        <v>250</v>
      </c>
      <c r="F11" s="121">
        <v>250</v>
      </c>
      <c r="G11" s="121">
        <v>0</v>
      </c>
      <c r="H11" s="121">
        <v>0</v>
      </c>
      <c r="I11" s="121">
        <v>0</v>
      </c>
      <c r="J11" s="121" t="s">
        <v>517</v>
      </c>
      <c r="K11" s="124">
        <v>400</v>
      </c>
      <c r="L11" s="119" t="str">
        <f>InputSirio[[#This Row],[Type]]&amp;InputSirio[[#This Row],[GSV]]&amp;InputSirio[[#This Row],[Klimaatscenario]]&amp;InputSirio[[#This Row],[infiltratiecapaciteit]]</f>
        <v>BHuidigToekomstig scenarioZand</v>
      </c>
      <c r="M11" s="121">
        <v>5895.8965518431269</v>
      </c>
      <c r="N11" s="121">
        <f t="shared" si="0"/>
        <v>0.58958965518431272</v>
      </c>
    </row>
    <row r="12" spans="1:14">
      <c r="A12" s="121">
        <v>2</v>
      </c>
      <c r="B12" s="121" t="s">
        <v>71</v>
      </c>
      <c r="C12" s="119" t="s">
        <v>265</v>
      </c>
      <c r="D12" s="119" t="s">
        <v>513</v>
      </c>
      <c r="E12" s="121">
        <v>250</v>
      </c>
      <c r="F12" s="121">
        <v>250</v>
      </c>
      <c r="G12" s="121">
        <v>0</v>
      </c>
      <c r="H12" s="121">
        <v>400</v>
      </c>
      <c r="I12" s="121">
        <v>0</v>
      </c>
      <c r="J12" s="121" t="s">
        <v>514</v>
      </c>
      <c r="K12" s="124">
        <v>0</v>
      </c>
      <c r="L12" s="119" t="str">
        <f>InputSirio[[#This Row],[Type]]&amp;InputSirio[[#This Row],[GSV]]&amp;InputSirio[[#This Row],[Klimaatscenario]]&amp;InputSirio[[#This Row],[infiltratiecapaciteit]]</f>
        <v>OHuidigHuidig scenarioKlei</v>
      </c>
      <c r="M12" s="121">
        <v>2726.8761246756699</v>
      </c>
      <c r="N12" s="121">
        <f t="shared" si="0"/>
        <v>0.27268761246756701</v>
      </c>
    </row>
    <row r="13" spans="1:14">
      <c r="A13" s="121">
        <v>2</v>
      </c>
      <c r="B13" s="121" t="s">
        <v>71</v>
      </c>
      <c r="C13" s="119" t="s">
        <v>265</v>
      </c>
      <c r="D13" s="119" t="s">
        <v>26</v>
      </c>
      <c r="E13" s="121">
        <v>250</v>
      </c>
      <c r="F13" s="121">
        <v>250</v>
      </c>
      <c r="G13" s="121">
        <v>0</v>
      </c>
      <c r="H13" s="121">
        <v>400</v>
      </c>
      <c r="I13" s="121">
        <v>0</v>
      </c>
      <c r="J13" s="121" t="s">
        <v>514</v>
      </c>
      <c r="K13" s="124">
        <v>0</v>
      </c>
      <c r="L13" s="119" t="str">
        <f>InputSirio[[#This Row],[Type]]&amp;InputSirio[[#This Row],[GSV]]&amp;InputSirio[[#This Row],[Klimaatscenario]]&amp;InputSirio[[#This Row],[infiltratiecapaciteit]]</f>
        <v>OHuidigToekomstig scenarioKlei</v>
      </c>
      <c r="M13" s="121">
        <v>2662.046391056062</v>
      </c>
      <c r="N13" s="121">
        <f t="shared" si="0"/>
        <v>0.26620463910560621</v>
      </c>
    </row>
    <row r="14" spans="1:14">
      <c r="A14" s="121">
        <v>2</v>
      </c>
      <c r="B14" s="121" t="s">
        <v>71</v>
      </c>
      <c r="C14" s="119" t="s">
        <v>265</v>
      </c>
      <c r="D14" s="119" t="s">
        <v>513</v>
      </c>
      <c r="E14" s="121">
        <v>250</v>
      </c>
      <c r="F14" s="121">
        <v>250</v>
      </c>
      <c r="G14" s="121">
        <v>0</v>
      </c>
      <c r="H14" s="121">
        <v>400</v>
      </c>
      <c r="I14" s="121">
        <v>0</v>
      </c>
      <c r="J14" s="121" t="s">
        <v>515</v>
      </c>
      <c r="K14" s="124">
        <v>0</v>
      </c>
      <c r="L14" s="119" t="str">
        <f>InputSirio[[#This Row],[Type]]&amp;InputSirio[[#This Row],[GSV]]&amp;InputSirio[[#This Row],[Klimaatscenario]]&amp;InputSirio[[#This Row],[infiltratiecapaciteit]]</f>
        <v>OHuidigHuidig scenarioLeem</v>
      </c>
      <c r="M14" s="121">
        <v>5456.0008603399938</v>
      </c>
      <c r="N14" s="121">
        <f t="shared" si="0"/>
        <v>0.54560008603399934</v>
      </c>
    </row>
    <row r="15" spans="1:14">
      <c r="A15" s="121">
        <v>2</v>
      </c>
      <c r="B15" s="121" t="s">
        <v>71</v>
      </c>
      <c r="C15" s="119" t="s">
        <v>265</v>
      </c>
      <c r="D15" s="119" t="s">
        <v>26</v>
      </c>
      <c r="E15" s="121">
        <v>250</v>
      </c>
      <c r="F15" s="121">
        <v>250</v>
      </c>
      <c r="G15" s="121">
        <v>0</v>
      </c>
      <c r="H15" s="121">
        <v>400</v>
      </c>
      <c r="I15" s="121">
        <v>0</v>
      </c>
      <c r="J15" s="121" t="s">
        <v>515</v>
      </c>
      <c r="K15" s="124">
        <v>0</v>
      </c>
      <c r="L15" s="119" t="str">
        <f>InputSirio[[#This Row],[Type]]&amp;InputSirio[[#This Row],[GSV]]&amp;InputSirio[[#This Row],[Klimaatscenario]]&amp;InputSirio[[#This Row],[infiltratiecapaciteit]]</f>
        <v>OHuidigToekomstig scenarioLeem</v>
      </c>
      <c r="M15" s="121">
        <v>5200.3460269450088</v>
      </c>
      <c r="N15" s="121">
        <f t="shared" si="0"/>
        <v>0.52003460269450086</v>
      </c>
    </row>
    <row r="16" spans="1:14">
      <c r="A16" s="121">
        <v>2</v>
      </c>
      <c r="B16" s="121" t="s">
        <v>71</v>
      </c>
      <c r="C16" s="119" t="s">
        <v>265</v>
      </c>
      <c r="D16" s="119" t="s">
        <v>513</v>
      </c>
      <c r="E16" s="121">
        <v>250</v>
      </c>
      <c r="F16" s="121">
        <v>250</v>
      </c>
      <c r="G16" s="121">
        <v>0</v>
      </c>
      <c r="H16" s="121">
        <v>400</v>
      </c>
      <c r="I16" s="121">
        <v>0</v>
      </c>
      <c r="J16" s="121" t="s">
        <v>23</v>
      </c>
      <c r="K16" s="124">
        <v>0</v>
      </c>
      <c r="L16" s="119" t="str">
        <f>InputSirio[[#This Row],[Type]]&amp;InputSirio[[#This Row],[GSV]]&amp;InputSirio[[#This Row],[Klimaatscenario]]&amp;InputSirio[[#This Row],[infiltratiecapaciteit]]</f>
        <v>OHuidigHuidig scenarioZandige leem</v>
      </c>
      <c r="M16" s="121">
        <v>5923.5158828066824</v>
      </c>
      <c r="N16" s="121">
        <f t="shared" si="0"/>
        <v>0.59235158828066825</v>
      </c>
    </row>
    <row r="17" spans="1:14">
      <c r="A17" s="121">
        <v>2</v>
      </c>
      <c r="B17" s="121" t="s">
        <v>71</v>
      </c>
      <c r="C17" s="119" t="s">
        <v>265</v>
      </c>
      <c r="D17" s="119" t="s">
        <v>26</v>
      </c>
      <c r="E17" s="121">
        <v>250</v>
      </c>
      <c r="F17" s="121">
        <v>250</v>
      </c>
      <c r="G17" s="121">
        <v>0</v>
      </c>
      <c r="H17" s="121">
        <v>400</v>
      </c>
      <c r="I17" s="121">
        <v>0</v>
      </c>
      <c r="J17" s="121" t="s">
        <v>23</v>
      </c>
      <c r="K17" s="124">
        <v>0</v>
      </c>
      <c r="L17" s="119" t="str">
        <f>InputSirio[[#This Row],[Type]]&amp;InputSirio[[#This Row],[GSV]]&amp;InputSirio[[#This Row],[Klimaatscenario]]&amp;InputSirio[[#This Row],[infiltratiecapaciteit]]</f>
        <v>OHuidigToekomstig scenarioZandige leem</v>
      </c>
      <c r="M17" s="121">
        <v>5625.9694020736424</v>
      </c>
      <c r="N17" s="121">
        <f t="shared" si="0"/>
        <v>0.56259694020736428</v>
      </c>
    </row>
    <row r="18" spans="1:14">
      <c r="A18" s="121">
        <v>2</v>
      </c>
      <c r="B18" s="121" t="s">
        <v>71</v>
      </c>
      <c r="C18" s="119" t="s">
        <v>265</v>
      </c>
      <c r="D18" s="119" t="s">
        <v>513</v>
      </c>
      <c r="E18" s="121">
        <v>250</v>
      </c>
      <c r="F18" s="121">
        <v>250</v>
      </c>
      <c r="G18" s="121">
        <v>0</v>
      </c>
      <c r="H18" s="121">
        <v>400</v>
      </c>
      <c r="I18" s="121">
        <v>0</v>
      </c>
      <c r="J18" s="121" t="s">
        <v>516</v>
      </c>
      <c r="K18" s="124">
        <v>0</v>
      </c>
      <c r="L18" s="119" t="str">
        <f>InputSirio[[#This Row],[Type]]&amp;InputSirio[[#This Row],[GSV]]&amp;InputSirio[[#This Row],[Klimaatscenario]]&amp;InputSirio[[#This Row],[infiltratiecapaciteit]]</f>
        <v>OHuidigHuidig scenarioFijn zand</v>
      </c>
      <c r="M18" s="121">
        <v>6101.5295984020922</v>
      </c>
      <c r="N18" s="121">
        <f t="shared" si="0"/>
        <v>0.61015295984020923</v>
      </c>
    </row>
    <row r="19" spans="1:14">
      <c r="A19" s="121">
        <v>2</v>
      </c>
      <c r="B19" s="121" t="s">
        <v>71</v>
      </c>
      <c r="C19" s="119" t="s">
        <v>265</v>
      </c>
      <c r="D19" s="119" t="s">
        <v>26</v>
      </c>
      <c r="E19" s="121">
        <v>250</v>
      </c>
      <c r="F19" s="121">
        <v>250</v>
      </c>
      <c r="G19" s="121">
        <v>0</v>
      </c>
      <c r="H19" s="121">
        <v>400</v>
      </c>
      <c r="I19" s="121">
        <v>0</v>
      </c>
      <c r="J19" s="121" t="s">
        <v>516</v>
      </c>
      <c r="K19" s="124">
        <v>0</v>
      </c>
      <c r="L19" s="119" t="str">
        <f>InputSirio[[#This Row],[Type]]&amp;InputSirio[[#This Row],[GSV]]&amp;InputSirio[[#This Row],[Klimaatscenario]]&amp;InputSirio[[#This Row],[infiltratiecapaciteit]]</f>
        <v>OHuidigToekomstig scenarioFijn zand</v>
      </c>
      <c r="M19" s="121">
        <v>5797.5325751765158</v>
      </c>
      <c r="N19" s="121">
        <f t="shared" si="0"/>
        <v>0.57975325751765161</v>
      </c>
    </row>
    <row r="20" spans="1:14">
      <c r="A20" s="121">
        <v>2</v>
      </c>
      <c r="B20" s="121" t="s">
        <v>71</v>
      </c>
      <c r="C20" s="119" t="s">
        <v>265</v>
      </c>
      <c r="D20" s="119" t="s">
        <v>513</v>
      </c>
      <c r="E20" s="121">
        <v>250</v>
      </c>
      <c r="F20" s="121">
        <v>250</v>
      </c>
      <c r="G20" s="121">
        <v>0</v>
      </c>
      <c r="H20" s="121">
        <v>400</v>
      </c>
      <c r="I20" s="121">
        <v>0</v>
      </c>
      <c r="J20" s="121" t="s">
        <v>517</v>
      </c>
      <c r="K20" s="124">
        <v>0</v>
      </c>
      <c r="L20" s="119" t="str">
        <f>InputSirio[[#This Row],[Type]]&amp;InputSirio[[#This Row],[GSV]]&amp;InputSirio[[#This Row],[Klimaatscenario]]&amp;InputSirio[[#This Row],[infiltratiecapaciteit]]</f>
        <v>OHuidigHuidig scenarioZand</v>
      </c>
      <c r="M20" s="121">
        <v>6183.8822682463633</v>
      </c>
      <c r="N20" s="121">
        <f t="shared" si="0"/>
        <v>0.61838822682463634</v>
      </c>
    </row>
    <row r="21" spans="1:14">
      <c r="A21" s="121">
        <v>2</v>
      </c>
      <c r="B21" s="121" t="s">
        <v>71</v>
      </c>
      <c r="C21" s="119" t="s">
        <v>265</v>
      </c>
      <c r="D21" s="119" t="s">
        <v>26</v>
      </c>
      <c r="E21" s="121">
        <v>250</v>
      </c>
      <c r="F21" s="121">
        <v>250</v>
      </c>
      <c r="G21" s="121">
        <v>0</v>
      </c>
      <c r="H21" s="121">
        <v>400</v>
      </c>
      <c r="I21" s="121">
        <v>0</v>
      </c>
      <c r="J21" s="121" t="s">
        <v>517</v>
      </c>
      <c r="K21" s="124">
        <v>0</v>
      </c>
      <c r="L21" s="119" t="str">
        <f>InputSirio[[#This Row],[Type]]&amp;InputSirio[[#This Row],[GSV]]&amp;InputSirio[[#This Row],[Klimaatscenario]]&amp;InputSirio[[#This Row],[infiltratiecapaciteit]]</f>
        <v>OHuidigToekomstig scenarioZand</v>
      </c>
      <c r="M21" s="121">
        <v>5875.6663490691863</v>
      </c>
      <c r="N21" s="121">
        <f t="shared" si="0"/>
        <v>0.58756663490691863</v>
      </c>
    </row>
    <row r="22" spans="1:14">
      <c r="A22" s="121">
        <v>4</v>
      </c>
      <c r="B22" s="121" t="s">
        <v>126</v>
      </c>
      <c r="C22" s="119" t="s">
        <v>29</v>
      </c>
      <c r="D22" s="119" t="s">
        <v>513</v>
      </c>
      <c r="E22" s="121">
        <v>330</v>
      </c>
      <c r="F22" s="121">
        <v>330</v>
      </c>
      <c r="G22" s="121">
        <v>0</v>
      </c>
      <c r="H22" s="121">
        <v>0</v>
      </c>
      <c r="I22" s="121">
        <v>0</v>
      </c>
      <c r="J22" s="121" t="s">
        <v>23</v>
      </c>
      <c r="K22" s="121">
        <v>800</v>
      </c>
      <c r="L22" s="119" t="str">
        <f>InputSirio[[#This Row],[Type]]&amp;InputSirio[[#This Row],[GSV]]&amp;InputSirio[[#This Row],[Klimaatscenario]]&amp;InputSirio[[#This Row],[infiltratiecapaciteit]]</f>
        <v>BNieuwHuidig scenarioZandige leem</v>
      </c>
      <c r="M22" s="121">
        <v>6194.0315793911632</v>
      </c>
      <c r="N22" s="121">
        <f t="shared" si="0"/>
        <v>0.61940315793911627</v>
      </c>
    </row>
    <row r="23" spans="1:14">
      <c r="A23" s="121">
        <v>4</v>
      </c>
      <c r="B23" s="121" t="s">
        <v>126</v>
      </c>
      <c r="C23" s="119" t="s">
        <v>29</v>
      </c>
      <c r="D23" s="119" t="s">
        <v>26</v>
      </c>
      <c r="E23" s="121">
        <v>330</v>
      </c>
      <c r="F23" s="121">
        <v>330</v>
      </c>
      <c r="G23" s="121">
        <v>0</v>
      </c>
      <c r="H23" s="121">
        <v>0</v>
      </c>
      <c r="I23" s="121">
        <v>0</v>
      </c>
      <c r="J23" s="121" t="s">
        <v>23</v>
      </c>
      <c r="K23" s="121">
        <v>800</v>
      </c>
      <c r="L23" s="119" t="str">
        <f>InputSirio[[#This Row],[Type]]&amp;InputSirio[[#This Row],[GSV]]&amp;InputSirio[[#This Row],[Klimaatscenario]]&amp;InputSirio[[#This Row],[infiltratiecapaciteit]]</f>
        <v>BNieuwToekomstig scenarioZandige leem</v>
      </c>
      <c r="M23" s="121">
        <v>5884.5581009631151</v>
      </c>
      <c r="N23" s="121">
        <f t="shared" si="0"/>
        <v>0.58845581009631154</v>
      </c>
    </row>
    <row r="24" spans="1:14">
      <c r="A24" s="121">
        <v>4</v>
      </c>
      <c r="B24" s="121" t="s">
        <v>126</v>
      </c>
      <c r="C24" s="119" t="s">
        <v>29</v>
      </c>
      <c r="D24" s="119" t="s">
        <v>513</v>
      </c>
      <c r="E24" s="121">
        <v>330</v>
      </c>
      <c r="F24" s="121">
        <v>330</v>
      </c>
      <c r="G24" s="121">
        <v>0</v>
      </c>
      <c r="H24" s="121">
        <v>0</v>
      </c>
      <c r="I24" s="121">
        <v>0</v>
      </c>
      <c r="J24" s="121" t="s">
        <v>516</v>
      </c>
      <c r="K24" s="121">
        <v>800</v>
      </c>
      <c r="L24" s="119" t="str">
        <f>InputSirio[[#This Row],[Type]]&amp;InputSirio[[#This Row],[GSV]]&amp;InputSirio[[#This Row],[Klimaatscenario]]&amp;InputSirio[[#This Row],[infiltratiecapaciteit]]</f>
        <v>BNieuwHuidig scenarioFijn zand</v>
      </c>
      <c r="M24" s="121">
        <v>6218.916076943905</v>
      </c>
      <c r="N24" s="121">
        <f t="shared" si="0"/>
        <v>0.62189160769439045</v>
      </c>
    </row>
    <row r="25" spans="1:14">
      <c r="A25" s="121">
        <v>4</v>
      </c>
      <c r="B25" s="121" t="s">
        <v>126</v>
      </c>
      <c r="C25" s="119" t="s">
        <v>29</v>
      </c>
      <c r="D25" s="119" t="s">
        <v>26</v>
      </c>
      <c r="E25" s="121">
        <v>330</v>
      </c>
      <c r="F25" s="121">
        <v>330</v>
      </c>
      <c r="G25" s="121">
        <v>0</v>
      </c>
      <c r="H25" s="121">
        <v>0</v>
      </c>
      <c r="I25" s="121">
        <v>0</v>
      </c>
      <c r="J25" s="121" t="s">
        <v>516</v>
      </c>
      <c r="K25" s="121">
        <v>800</v>
      </c>
      <c r="L25" s="119" t="str">
        <f>InputSirio[[#This Row],[Type]]&amp;InputSirio[[#This Row],[GSV]]&amp;InputSirio[[#This Row],[Klimaatscenario]]&amp;InputSirio[[#This Row],[infiltratiecapaciteit]]</f>
        <v>BNieuwToekomstig scenarioFijn zand</v>
      </c>
      <c r="M25" s="121">
        <v>5907.6336544651749</v>
      </c>
      <c r="N25" s="121">
        <f t="shared" si="0"/>
        <v>0.59076336544651753</v>
      </c>
    </row>
    <row r="26" spans="1:14">
      <c r="A26" s="121">
        <v>4</v>
      </c>
      <c r="B26" s="121" t="s">
        <v>126</v>
      </c>
      <c r="C26" s="119" t="s">
        <v>29</v>
      </c>
      <c r="D26" s="119" t="s">
        <v>513</v>
      </c>
      <c r="E26" s="121">
        <v>330</v>
      </c>
      <c r="F26" s="121">
        <v>330</v>
      </c>
      <c r="G26" s="121">
        <v>0</v>
      </c>
      <c r="H26" s="121">
        <v>0</v>
      </c>
      <c r="I26" s="121">
        <v>0</v>
      </c>
      <c r="J26" s="121" t="s">
        <v>517</v>
      </c>
      <c r="K26" s="121">
        <v>800</v>
      </c>
      <c r="L26" s="119" t="str">
        <f>InputSirio[[#This Row],[Type]]&amp;InputSirio[[#This Row],[GSV]]&amp;InputSirio[[#This Row],[Klimaatscenario]]&amp;InputSirio[[#This Row],[infiltratiecapaciteit]]</f>
        <v>BNieuwHuidig scenarioZand</v>
      </c>
      <c r="M26" s="121">
        <v>6231.267050365087</v>
      </c>
      <c r="N26" s="121">
        <f t="shared" si="0"/>
        <v>0.62312670503650869</v>
      </c>
    </row>
    <row r="27" spans="1:14">
      <c r="A27" s="121">
        <v>4</v>
      </c>
      <c r="B27" s="121" t="s">
        <v>126</v>
      </c>
      <c r="C27" s="119" t="s">
        <v>29</v>
      </c>
      <c r="D27" s="119" t="s">
        <v>26</v>
      </c>
      <c r="E27" s="121">
        <v>330</v>
      </c>
      <c r="F27" s="121">
        <v>330</v>
      </c>
      <c r="G27" s="121">
        <v>0</v>
      </c>
      <c r="H27" s="121">
        <v>0</v>
      </c>
      <c r="I27" s="121">
        <v>0</v>
      </c>
      <c r="J27" s="121" t="s">
        <v>517</v>
      </c>
      <c r="K27" s="121">
        <v>800</v>
      </c>
      <c r="L27" s="119" t="str">
        <f>InputSirio[[#This Row],[Type]]&amp;InputSirio[[#This Row],[GSV]]&amp;InputSirio[[#This Row],[Klimaatscenario]]&amp;InputSirio[[#This Row],[infiltratiecapaciteit]]</f>
        <v>BNieuwToekomstig scenarioZand</v>
      </c>
      <c r="M27" s="121">
        <v>5917.7997306827547</v>
      </c>
      <c r="N27" s="121">
        <f t="shared" si="0"/>
        <v>0.59177997306827546</v>
      </c>
    </row>
    <row r="28" spans="1:14">
      <c r="A28" s="121">
        <v>4</v>
      </c>
      <c r="B28" s="121" t="s">
        <v>126</v>
      </c>
      <c r="C28" s="119" t="s">
        <v>29</v>
      </c>
      <c r="D28" s="119" t="s">
        <v>513</v>
      </c>
      <c r="E28" s="121">
        <v>330</v>
      </c>
      <c r="F28" s="121">
        <v>330</v>
      </c>
      <c r="G28" s="121">
        <v>0</v>
      </c>
      <c r="H28" s="121">
        <v>0</v>
      </c>
      <c r="I28" s="121">
        <v>0</v>
      </c>
      <c r="J28" s="121" t="s">
        <v>514</v>
      </c>
      <c r="K28" s="121">
        <v>800</v>
      </c>
      <c r="L28" s="119" t="str">
        <f>InputSirio[[#This Row],[Type]]&amp;InputSirio[[#This Row],[GSV]]&amp;InputSirio[[#This Row],[Klimaatscenario]]&amp;InputSirio[[#This Row],[infiltratiecapaciteit]]</f>
        <v>BNieuwHuidig scenarioKlei</v>
      </c>
      <c r="M28" s="121">
        <v>5066.2546707464235</v>
      </c>
      <c r="N28" s="121">
        <f t="shared" si="0"/>
        <v>0.5066254670746424</v>
      </c>
    </row>
    <row r="29" spans="1:14">
      <c r="A29" s="121">
        <v>4</v>
      </c>
      <c r="B29" s="121" t="s">
        <v>126</v>
      </c>
      <c r="C29" s="119" t="s">
        <v>29</v>
      </c>
      <c r="D29" s="119" t="s">
        <v>26</v>
      </c>
      <c r="E29" s="121">
        <v>330</v>
      </c>
      <c r="F29" s="121">
        <v>330</v>
      </c>
      <c r="G29" s="121">
        <v>0</v>
      </c>
      <c r="H29" s="121">
        <v>0</v>
      </c>
      <c r="I29" s="121">
        <v>0</v>
      </c>
      <c r="J29" s="121" t="s">
        <v>514</v>
      </c>
      <c r="K29" s="121">
        <v>800</v>
      </c>
      <c r="L29" s="119" t="str">
        <f>InputSirio[[#This Row],[Type]]&amp;InputSirio[[#This Row],[GSV]]&amp;InputSirio[[#This Row],[Klimaatscenario]]&amp;InputSirio[[#This Row],[infiltratiecapaciteit]]</f>
        <v>BNieuwToekomstig scenarioKlei</v>
      </c>
      <c r="M29" s="121">
        <v>4872.64216980522</v>
      </c>
      <c r="N29" s="121">
        <f t="shared" si="0"/>
        <v>0.48726421698052197</v>
      </c>
    </row>
    <row r="30" spans="1:14">
      <c r="A30" s="121">
        <v>4</v>
      </c>
      <c r="B30" s="121" t="s">
        <v>126</v>
      </c>
      <c r="C30" s="119" t="s">
        <v>29</v>
      </c>
      <c r="D30" s="119" t="s">
        <v>513</v>
      </c>
      <c r="E30" s="121">
        <v>330</v>
      </c>
      <c r="F30" s="121">
        <v>330</v>
      </c>
      <c r="G30" s="121">
        <v>0</v>
      </c>
      <c r="H30" s="121">
        <v>0</v>
      </c>
      <c r="I30" s="121">
        <v>0</v>
      </c>
      <c r="J30" s="121" t="s">
        <v>515</v>
      </c>
      <c r="K30" s="121">
        <v>800</v>
      </c>
      <c r="L30" s="119" t="str">
        <f>InputSirio[[#This Row],[Type]]&amp;InputSirio[[#This Row],[GSV]]&amp;InputSirio[[#This Row],[Klimaatscenario]]&amp;InputSirio[[#This Row],[infiltratiecapaciteit]]</f>
        <v>BNieuwHuidig scenarioLeem</v>
      </c>
      <c r="M30" s="121">
        <v>6158.6161116685789</v>
      </c>
      <c r="N30" s="121">
        <f t="shared" si="0"/>
        <v>0.61586161116685789</v>
      </c>
    </row>
    <row r="31" spans="1:14">
      <c r="A31" s="121">
        <v>4</v>
      </c>
      <c r="B31" s="121" t="s">
        <v>126</v>
      </c>
      <c r="C31" s="119" t="s">
        <v>29</v>
      </c>
      <c r="D31" s="119" t="s">
        <v>26</v>
      </c>
      <c r="E31" s="121">
        <v>330</v>
      </c>
      <c r="F31" s="121">
        <v>330</v>
      </c>
      <c r="G31" s="121">
        <v>0</v>
      </c>
      <c r="H31" s="121">
        <v>0</v>
      </c>
      <c r="I31" s="121">
        <v>0</v>
      </c>
      <c r="J31" s="121" t="s">
        <v>515</v>
      </c>
      <c r="K31" s="121">
        <v>800</v>
      </c>
      <c r="L31" s="119" t="str">
        <f>InputSirio[[#This Row],[Type]]&amp;InputSirio[[#This Row],[GSV]]&amp;InputSirio[[#This Row],[Klimaatscenario]]&amp;InputSirio[[#This Row],[infiltratiecapaciteit]]</f>
        <v>BNieuwToekomstig scenarioLeem</v>
      </c>
      <c r="M31" s="121">
        <v>5848.5912847957352</v>
      </c>
      <c r="N31" s="121">
        <f t="shared" si="0"/>
        <v>0.58485912847957355</v>
      </c>
    </row>
    <row r="32" spans="1:14">
      <c r="A32" s="122">
        <v>5</v>
      </c>
      <c r="B32" s="121" t="s">
        <v>71</v>
      </c>
      <c r="C32" s="119" t="s">
        <v>29</v>
      </c>
      <c r="D32" s="119" t="s">
        <v>513</v>
      </c>
      <c r="E32" s="121">
        <v>330</v>
      </c>
      <c r="F32" s="121">
        <v>330</v>
      </c>
      <c r="G32" s="121">
        <v>0</v>
      </c>
      <c r="H32" s="121">
        <v>800</v>
      </c>
      <c r="I32" s="121">
        <v>0</v>
      </c>
      <c r="J32" s="121" t="s">
        <v>23</v>
      </c>
      <c r="K32" s="124">
        <v>0</v>
      </c>
      <c r="L32" s="119" t="str">
        <f>InputSirio[[#This Row],[Type]]&amp;InputSirio[[#This Row],[GSV]]&amp;InputSirio[[#This Row],[Klimaatscenario]]&amp;InputSirio[[#This Row],[infiltratiecapaciteit]]</f>
        <v>ONieuwHuidig scenarioZandige leem</v>
      </c>
      <c r="M32" s="121">
        <v>6162.1662792495517</v>
      </c>
      <c r="N32" s="121">
        <f t="shared" si="0"/>
        <v>0.61621662792495513</v>
      </c>
    </row>
    <row r="33" spans="1:14">
      <c r="A33" s="122">
        <v>5</v>
      </c>
      <c r="B33" s="121" t="s">
        <v>71</v>
      </c>
      <c r="C33" s="119" t="s">
        <v>29</v>
      </c>
      <c r="D33" s="119" t="s">
        <v>26</v>
      </c>
      <c r="E33" s="121">
        <v>330</v>
      </c>
      <c r="F33" s="121">
        <v>330</v>
      </c>
      <c r="G33" s="121">
        <v>0</v>
      </c>
      <c r="H33" s="121">
        <v>800</v>
      </c>
      <c r="I33" s="121">
        <v>0</v>
      </c>
      <c r="J33" s="121" t="s">
        <v>23</v>
      </c>
      <c r="K33" s="124">
        <v>0</v>
      </c>
      <c r="L33" s="119" t="str">
        <f>InputSirio[[#This Row],[Type]]&amp;InputSirio[[#This Row],[GSV]]&amp;InputSirio[[#This Row],[Klimaatscenario]]&amp;InputSirio[[#This Row],[infiltratiecapaciteit]]</f>
        <v>ONieuwToekomstig scenarioZandige leem</v>
      </c>
      <c r="M33" s="121">
        <v>5855.689680940076</v>
      </c>
      <c r="N33" s="121">
        <f t="shared" si="0"/>
        <v>0.5855689680940076</v>
      </c>
    </row>
    <row r="34" spans="1:14">
      <c r="A34" s="121">
        <v>5</v>
      </c>
      <c r="B34" s="121" t="s">
        <v>71</v>
      </c>
      <c r="C34" s="119" t="s">
        <v>29</v>
      </c>
      <c r="D34" s="119" t="s">
        <v>513</v>
      </c>
      <c r="E34" s="121">
        <v>330</v>
      </c>
      <c r="F34" s="121">
        <v>330</v>
      </c>
      <c r="G34" s="121">
        <v>0</v>
      </c>
      <c r="H34" s="121">
        <v>800</v>
      </c>
      <c r="I34" s="121">
        <v>0</v>
      </c>
      <c r="J34" s="121" t="s">
        <v>516</v>
      </c>
      <c r="K34" s="121">
        <v>0</v>
      </c>
      <c r="L34" s="119" t="str">
        <f>InputSirio[[#This Row],[Type]]&amp;InputSirio[[#This Row],[GSV]]&amp;InputSirio[[#This Row],[Klimaatscenario]]&amp;InputSirio[[#This Row],[infiltratiecapaciteit]]</f>
        <v>ONieuwHuidig scenarioFijn zand</v>
      </c>
      <c r="M34" s="121">
        <v>6202.367718055636</v>
      </c>
      <c r="N34" s="121">
        <f t="shared" ref="N34:N65" si="1">M34/10000</f>
        <v>0.62023677180556358</v>
      </c>
    </row>
    <row r="35" spans="1:14">
      <c r="A35" s="121">
        <v>5</v>
      </c>
      <c r="B35" s="121" t="s">
        <v>71</v>
      </c>
      <c r="C35" s="119" t="s">
        <v>29</v>
      </c>
      <c r="D35" s="119" t="s">
        <v>26</v>
      </c>
      <c r="E35" s="121">
        <v>330</v>
      </c>
      <c r="F35" s="121">
        <v>330</v>
      </c>
      <c r="G35" s="121">
        <v>0</v>
      </c>
      <c r="H35" s="121">
        <v>800</v>
      </c>
      <c r="I35" s="121">
        <v>0</v>
      </c>
      <c r="J35" s="121" t="s">
        <v>516</v>
      </c>
      <c r="K35" s="121">
        <v>0</v>
      </c>
      <c r="L35" s="119" t="str">
        <f>InputSirio[[#This Row],[Type]]&amp;InputSirio[[#This Row],[GSV]]&amp;InputSirio[[#This Row],[Klimaatscenario]]&amp;InputSirio[[#This Row],[infiltratiecapaciteit]]</f>
        <v>ONieuwToekomstig scenarioFijn zand</v>
      </c>
      <c r="M35" s="121">
        <v>5891.1040078795886</v>
      </c>
      <c r="N35" s="121">
        <f t="shared" si="1"/>
        <v>0.58911040078795884</v>
      </c>
    </row>
    <row r="36" spans="1:14" ht="14.1" customHeight="1">
      <c r="A36" s="121">
        <v>5</v>
      </c>
      <c r="B36" s="121" t="s">
        <v>71</v>
      </c>
      <c r="C36" s="119" t="s">
        <v>29</v>
      </c>
      <c r="D36" s="119" t="s">
        <v>513</v>
      </c>
      <c r="E36" s="121">
        <v>330</v>
      </c>
      <c r="F36" s="121">
        <v>330</v>
      </c>
      <c r="G36" s="121">
        <v>0</v>
      </c>
      <c r="H36" s="121">
        <v>800</v>
      </c>
      <c r="I36" s="121">
        <v>0</v>
      </c>
      <c r="J36" s="121" t="s">
        <v>517</v>
      </c>
      <c r="K36" s="121">
        <v>0</v>
      </c>
      <c r="L36" s="119" t="str">
        <f>InputSirio[[#This Row],[Type]]&amp;InputSirio[[#This Row],[GSV]]&amp;InputSirio[[#This Row],[Klimaatscenario]]&amp;InputSirio[[#This Row],[infiltratiecapaciteit]]</f>
        <v>ONieuwHuidig scenarioZand</v>
      </c>
      <c r="M36" s="121">
        <v>6226.3825427466254</v>
      </c>
      <c r="N36" s="121">
        <f t="shared" si="1"/>
        <v>0.62263825427466257</v>
      </c>
    </row>
    <row r="37" spans="1:14">
      <c r="A37" s="121">
        <v>5</v>
      </c>
      <c r="B37" s="121" t="s">
        <v>71</v>
      </c>
      <c r="C37" s="119" t="s">
        <v>29</v>
      </c>
      <c r="D37" s="119" t="s">
        <v>26</v>
      </c>
      <c r="E37" s="121">
        <v>330</v>
      </c>
      <c r="F37" s="121">
        <v>330</v>
      </c>
      <c r="G37" s="121">
        <v>0</v>
      </c>
      <c r="H37" s="121">
        <v>800</v>
      </c>
      <c r="I37" s="121">
        <v>0</v>
      </c>
      <c r="J37" s="121" t="s">
        <v>517</v>
      </c>
      <c r="K37" s="121">
        <v>0</v>
      </c>
      <c r="L37" s="119" t="str">
        <f>InputSirio[[#This Row],[Type]]&amp;InputSirio[[#This Row],[GSV]]&amp;InputSirio[[#This Row],[Klimaatscenario]]&amp;InputSirio[[#This Row],[infiltratiecapaciteit]]</f>
        <v>ONieuwToekomstig scenarioZand</v>
      </c>
      <c r="M37" s="121">
        <v>5913.9497911741946</v>
      </c>
      <c r="N37" s="121">
        <f t="shared" si="1"/>
        <v>0.59139497911741945</v>
      </c>
    </row>
    <row r="38" spans="1:14">
      <c r="A38" s="121">
        <v>5</v>
      </c>
      <c r="B38" s="121" t="s">
        <v>71</v>
      </c>
      <c r="C38" s="119" t="s">
        <v>29</v>
      </c>
      <c r="D38" s="119" t="s">
        <v>513</v>
      </c>
      <c r="E38" s="121">
        <v>330</v>
      </c>
      <c r="F38" s="121">
        <v>330</v>
      </c>
      <c r="G38" s="121">
        <v>0</v>
      </c>
      <c r="H38" s="121">
        <v>800</v>
      </c>
      <c r="I38" s="121">
        <v>0</v>
      </c>
      <c r="J38" s="121" t="s">
        <v>514</v>
      </c>
      <c r="K38" s="121">
        <v>0</v>
      </c>
      <c r="L38" s="119" t="str">
        <f>InputSirio[[#This Row],[Type]]&amp;InputSirio[[#This Row],[GSV]]&amp;InputSirio[[#This Row],[Klimaatscenario]]&amp;InputSirio[[#This Row],[infiltratiecapaciteit]]</f>
        <v>ONieuwHuidig scenarioKlei</v>
      </c>
      <c r="M38" s="121">
        <v>4339.9520835471249</v>
      </c>
      <c r="N38" s="121">
        <f t="shared" si="1"/>
        <v>0.4339952083547125</v>
      </c>
    </row>
    <row r="39" spans="1:14">
      <c r="A39" s="121">
        <v>5</v>
      </c>
      <c r="B39" s="121" t="s">
        <v>71</v>
      </c>
      <c r="C39" s="119" t="s">
        <v>29</v>
      </c>
      <c r="D39" s="119" t="s">
        <v>26</v>
      </c>
      <c r="E39" s="121">
        <v>330</v>
      </c>
      <c r="F39" s="121">
        <v>330</v>
      </c>
      <c r="G39" s="121">
        <v>0</v>
      </c>
      <c r="H39" s="121">
        <v>800</v>
      </c>
      <c r="I39" s="121">
        <v>0</v>
      </c>
      <c r="J39" s="121" t="s">
        <v>514</v>
      </c>
      <c r="K39" s="121">
        <v>0</v>
      </c>
      <c r="L39" s="119" t="str">
        <f>InputSirio[[#This Row],[Type]]&amp;InputSirio[[#This Row],[GSV]]&amp;InputSirio[[#This Row],[Klimaatscenario]]&amp;InputSirio[[#This Row],[infiltratiecapaciteit]]</f>
        <v>ONieuwToekomstig scenarioKlei</v>
      </c>
      <c r="M39" s="121">
        <v>4185.105621615382</v>
      </c>
      <c r="N39" s="121">
        <f t="shared" si="1"/>
        <v>0.4185105621615382</v>
      </c>
    </row>
    <row r="40" spans="1:14">
      <c r="A40" s="121">
        <v>5</v>
      </c>
      <c r="B40" s="121" t="s">
        <v>71</v>
      </c>
      <c r="C40" s="119" t="s">
        <v>29</v>
      </c>
      <c r="D40" s="119" t="s">
        <v>513</v>
      </c>
      <c r="E40" s="121">
        <v>330</v>
      </c>
      <c r="F40" s="121">
        <v>330</v>
      </c>
      <c r="G40" s="121">
        <v>0</v>
      </c>
      <c r="H40" s="121">
        <v>800</v>
      </c>
      <c r="I40" s="121">
        <v>0</v>
      </c>
      <c r="J40" s="121" t="s">
        <v>515</v>
      </c>
      <c r="K40" s="121">
        <v>0</v>
      </c>
      <c r="L40" s="119" t="str">
        <f>InputSirio[[#This Row],[Type]]&amp;InputSirio[[#This Row],[GSV]]&amp;InputSirio[[#This Row],[Klimaatscenario]]&amp;InputSirio[[#This Row],[infiltratiecapaciteit]]</f>
        <v>ONieuwHuidig scenarioLeem</v>
      </c>
      <c r="M40" s="121">
        <v>6054.7024972958079</v>
      </c>
      <c r="N40" s="121">
        <f t="shared" si="1"/>
        <v>0.60547024972958075</v>
      </c>
    </row>
    <row r="41" spans="1:14">
      <c r="A41" s="121">
        <v>5</v>
      </c>
      <c r="B41" s="121" t="s">
        <v>71</v>
      </c>
      <c r="C41" s="119" t="s">
        <v>29</v>
      </c>
      <c r="D41" s="119" t="s">
        <v>26</v>
      </c>
      <c r="E41" s="121">
        <v>330</v>
      </c>
      <c r="F41" s="121">
        <v>330</v>
      </c>
      <c r="G41" s="121">
        <v>0</v>
      </c>
      <c r="H41" s="121">
        <v>800</v>
      </c>
      <c r="I41" s="121">
        <v>0</v>
      </c>
      <c r="J41" s="121" t="s">
        <v>515</v>
      </c>
      <c r="K41" s="121">
        <v>0</v>
      </c>
      <c r="L41" s="119" t="str">
        <f>InputSirio[[#This Row],[Type]]&amp;InputSirio[[#This Row],[GSV]]&amp;InputSirio[[#This Row],[Klimaatscenario]]&amp;InputSirio[[#This Row],[infiltratiecapaciteit]]</f>
        <v>ONieuwToekomstig scenarioLeem</v>
      </c>
      <c r="M41" s="121">
        <v>5751.1367434264348</v>
      </c>
      <c r="N41" s="121">
        <f t="shared" si="1"/>
        <v>0.57511367434264349</v>
      </c>
    </row>
    <row r="42" spans="1:14">
      <c r="A42">
        <v>8</v>
      </c>
      <c r="B42" t="s">
        <v>193</v>
      </c>
      <c r="C42" t="s">
        <v>29</v>
      </c>
      <c r="D42" t="s">
        <v>26</v>
      </c>
      <c r="E42">
        <v>20</v>
      </c>
      <c r="F42">
        <v>20</v>
      </c>
      <c r="G42">
        <v>0</v>
      </c>
      <c r="H42">
        <v>0</v>
      </c>
      <c r="I42">
        <v>0</v>
      </c>
      <c r="J42" t="s">
        <v>514</v>
      </c>
      <c r="K42">
        <v>10000</v>
      </c>
      <c r="L42" s="119" t="str">
        <f>InputSirio[[#This Row],[Type]]&amp;InputSirio[[#This Row],[GSV]]&amp;InputSirio[[#This Row],[Klimaatscenario]]&amp;InputSirio[[#This Row],[infiltratiecapaciteit]]</f>
        <v>VNieuwToekomstig scenarioKlei</v>
      </c>
      <c r="M42">
        <v>4435.7858399498455</v>
      </c>
      <c r="N42">
        <f t="shared" si="1"/>
        <v>0.44357858399498457</v>
      </c>
    </row>
    <row r="43" spans="1:14">
      <c r="A43">
        <v>8</v>
      </c>
      <c r="B43" t="s">
        <v>193</v>
      </c>
      <c r="C43" t="s">
        <v>29</v>
      </c>
      <c r="D43" t="s">
        <v>26</v>
      </c>
      <c r="E43">
        <v>20</v>
      </c>
      <c r="F43">
        <v>20</v>
      </c>
      <c r="G43">
        <v>0</v>
      </c>
      <c r="H43">
        <v>0</v>
      </c>
      <c r="I43">
        <v>0</v>
      </c>
      <c r="J43" t="s">
        <v>515</v>
      </c>
      <c r="K43">
        <v>10000</v>
      </c>
      <c r="L43" s="119" t="str">
        <f>InputSirio[[#This Row],[Type]]&amp;InputSirio[[#This Row],[GSV]]&amp;InputSirio[[#This Row],[Klimaatscenario]]&amp;InputSirio[[#This Row],[infiltratiecapaciteit]]</f>
        <v>VNieuwToekomstig scenarioLeem</v>
      </c>
      <c r="M43">
        <v>5529.5517780441987</v>
      </c>
      <c r="N43">
        <f t="shared" si="1"/>
        <v>0.55295517780441983</v>
      </c>
    </row>
    <row r="44" spans="1:14">
      <c r="A44">
        <v>8</v>
      </c>
      <c r="B44" t="s">
        <v>193</v>
      </c>
      <c r="C44" t="s">
        <v>29</v>
      </c>
      <c r="D44" t="s">
        <v>26</v>
      </c>
      <c r="E44">
        <v>20</v>
      </c>
      <c r="F44">
        <v>20</v>
      </c>
      <c r="G44">
        <v>0</v>
      </c>
      <c r="H44">
        <v>0</v>
      </c>
      <c r="I44">
        <v>0</v>
      </c>
      <c r="J44" t="s">
        <v>23</v>
      </c>
      <c r="K44">
        <v>10000</v>
      </c>
      <c r="L44" s="119" t="str">
        <f>InputSirio[[#This Row],[Type]]&amp;InputSirio[[#This Row],[GSV]]&amp;InputSirio[[#This Row],[Klimaatscenario]]&amp;InputSirio[[#This Row],[infiltratiecapaciteit]]</f>
        <v>VNieuwToekomstig scenarioZandige leem</v>
      </c>
      <c r="M44">
        <v>5711.3434168540462</v>
      </c>
      <c r="N44">
        <f t="shared" si="1"/>
        <v>0.57113434168540467</v>
      </c>
    </row>
    <row r="45" spans="1:14">
      <c r="A45">
        <v>8</v>
      </c>
      <c r="B45" t="s">
        <v>193</v>
      </c>
      <c r="C45" t="s">
        <v>29</v>
      </c>
      <c r="D45" t="s">
        <v>26</v>
      </c>
      <c r="E45">
        <v>20</v>
      </c>
      <c r="F45">
        <v>20</v>
      </c>
      <c r="G45">
        <v>0</v>
      </c>
      <c r="H45">
        <v>0</v>
      </c>
      <c r="I45">
        <v>0</v>
      </c>
      <c r="J45" t="s">
        <v>516</v>
      </c>
      <c r="K45">
        <v>10000</v>
      </c>
      <c r="L45" s="119" t="str">
        <f>InputSirio[[#This Row],[Type]]&amp;InputSirio[[#This Row],[GSV]]&amp;InputSirio[[#This Row],[Klimaatscenario]]&amp;InputSirio[[#This Row],[infiltratiecapaciteit]]</f>
        <v>VNieuwToekomstig scenarioFijn zand</v>
      </c>
      <c r="M45">
        <v>5824.5263945303623</v>
      </c>
      <c r="N45">
        <f t="shared" si="1"/>
        <v>0.58245263945303627</v>
      </c>
    </row>
    <row r="46" spans="1:14">
      <c r="A46">
        <v>8</v>
      </c>
      <c r="B46" t="s">
        <v>193</v>
      </c>
      <c r="C46" t="s">
        <v>29</v>
      </c>
      <c r="D46" t="s">
        <v>26</v>
      </c>
      <c r="E46">
        <v>20</v>
      </c>
      <c r="F46">
        <v>20</v>
      </c>
      <c r="G46">
        <v>0</v>
      </c>
      <c r="H46">
        <v>0</v>
      </c>
      <c r="I46">
        <v>0</v>
      </c>
      <c r="J46" t="s">
        <v>517</v>
      </c>
      <c r="K46">
        <v>10000</v>
      </c>
      <c r="L46" s="119" t="str">
        <f>InputSirio[[#This Row],[Type]]&amp;InputSirio[[#This Row],[GSV]]&amp;InputSirio[[#This Row],[Klimaatscenario]]&amp;InputSirio[[#This Row],[infiltratiecapaciteit]]</f>
        <v>VNieuwToekomstig scenarioZand</v>
      </c>
      <c r="M46">
        <v>5905.1723476849384</v>
      </c>
      <c r="N46">
        <f t="shared" si="1"/>
        <v>0.59051723476849383</v>
      </c>
    </row>
    <row r="47" spans="1:14">
      <c r="A47">
        <v>8</v>
      </c>
      <c r="B47" t="s">
        <v>193</v>
      </c>
      <c r="C47" t="s">
        <v>265</v>
      </c>
      <c r="D47" t="s">
        <v>26</v>
      </c>
      <c r="E47">
        <v>20</v>
      </c>
      <c r="F47">
        <v>20</v>
      </c>
      <c r="G47">
        <v>0</v>
      </c>
      <c r="H47">
        <v>0</v>
      </c>
      <c r="I47">
        <v>0</v>
      </c>
      <c r="J47" t="s">
        <v>514</v>
      </c>
      <c r="K47">
        <v>10000</v>
      </c>
      <c r="L47" s="119" t="str">
        <f>InputSirio[[#This Row],[Type]]&amp;InputSirio[[#This Row],[GSV]]&amp;InputSirio[[#This Row],[Klimaatscenario]]&amp;InputSirio[[#This Row],[infiltratiecapaciteit]]</f>
        <v>VHuidigToekomstig scenarioKlei</v>
      </c>
      <c r="M47">
        <v>4435.7858399498455</v>
      </c>
      <c r="N47">
        <f t="shared" si="1"/>
        <v>0.44357858399498457</v>
      </c>
    </row>
    <row r="48" spans="1:14">
      <c r="A48">
        <v>8</v>
      </c>
      <c r="B48" t="s">
        <v>193</v>
      </c>
      <c r="C48" t="s">
        <v>265</v>
      </c>
      <c r="D48" t="s">
        <v>26</v>
      </c>
      <c r="E48">
        <v>20</v>
      </c>
      <c r="F48">
        <v>20</v>
      </c>
      <c r="G48">
        <v>0</v>
      </c>
      <c r="H48">
        <v>0</v>
      </c>
      <c r="I48">
        <v>0</v>
      </c>
      <c r="J48" t="s">
        <v>515</v>
      </c>
      <c r="K48">
        <v>10000</v>
      </c>
      <c r="L48" s="119" t="str">
        <f>InputSirio[[#This Row],[Type]]&amp;InputSirio[[#This Row],[GSV]]&amp;InputSirio[[#This Row],[Klimaatscenario]]&amp;InputSirio[[#This Row],[infiltratiecapaciteit]]</f>
        <v>VHuidigToekomstig scenarioLeem</v>
      </c>
      <c r="M48">
        <v>5529.5517780441987</v>
      </c>
      <c r="N48">
        <f t="shared" si="1"/>
        <v>0.55295517780441983</v>
      </c>
    </row>
    <row r="49" spans="1:14">
      <c r="A49">
        <v>8</v>
      </c>
      <c r="B49" t="s">
        <v>193</v>
      </c>
      <c r="C49" t="s">
        <v>265</v>
      </c>
      <c r="D49" t="s">
        <v>26</v>
      </c>
      <c r="E49">
        <v>20</v>
      </c>
      <c r="F49">
        <v>20</v>
      </c>
      <c r="G49">
        <v>0</v>
      </c>
      <c r="H49">
        <v>0</v>
      </c>
      <c r="I49">
        <v>0</v>
      </c>
      <c r="J49" t="s">
        <v>23</v>
      </c>
      <c r="K49">
        <v>10000</v>
      </c>
      <c r="L49" s="119" t="str">
        <f>InputSirio[[#This Row],[Type]]&amp;InputSirio[[#This Row],[GSV]]&amp;InputSirio[[#This Row],[Klimaatscenario]]&amp;InputSirio[[#This Row],[infiltratiecapaciteit]]</f>
        <v>VHuidigToekomstig scenarioZandige leem</v>
      </c>
      <c r="M49">
        <v>5711.3434168540462</v>
      </c>
      <c r="N49">
        <f t="shared" si="1"/>
        <v>0.57113434168540467</v>
      </c>
    </row>
    <row r="50" spans="1:14">
      <c r="A50">
        <v>8</v>
      </c>
      <c r="B50" t="s">
        <v>193</v>
      </c>
      <c r="C50" t="s">
        <v>265</v>
      </c>
      <c r="D50" t="s">
        <v>26</v>
      </c>
      <c r="E50">
        <v>20</v>
      </c>
      <c r="F50">
        <v>20</v>
      </c>
      <c r="G50">
        <v>0</v>
      </c>
      <c r="H50">
        <v>0</v>
      </c>
      <c r="I50">
        <v>0</v>
      </c>
      <c r="J50" t="s">
        <v>516</v>
      </c>
      <c r="K50">
        <v>10000</v>
      </c>
      <c r="L50" s="119" t="str">
        <f>InputSirio[[#This Row],[Type]]&amp;InputSirio[[#This Row],[GSV]]&amp;InputSirio[[#This Row],[Klimaatscenario]]&amp;InputSirio[[#This Row],[infiltratiecapaciteit]]</f>
        <v>VHuidigToekomstig scenarioFijn zand</v>
      </c>
      <c r="M50">
        <v>5824.5263945303623</v>
      </c>
      <c r="N50">
        <f t="shared" si="1"/>
        <v>0.58245263945303627</v>
      </c>
    </row>
    <row r="51" spans="1:14">
      <c r="A51">
        <v>8</v>
      </c>
      <c r="B51" t="s">
        <v>193</v>
      </c>
      <c r="C51" t="s">
        <v>29</v>
      </c>
      <c r="D51" t="s">
        <v>513</v>
      </c>
      <c r="E51">
        <v>20</v>
      </c>
      <c r="F51">
        <v>20</v>
      </c>
      <c r="G51">
        <v>0</v>
      </c>
      <c r="H51">
        <v>0</v>
      </c>
      <c r="I51">
        <v>0</v>
      </c>
      <c r="J51" t="s">
        <v>514</v>
      </c>
      <c r="K51">
        <v>10000</v>
      </c>
      <c r="L51" s="119" t="str">
        <f>InputSirio[[#This Row],[Type]]&amp;InputSirio[[#This Row],[GSV]]&amp;InputSirio[[#This Row],[Klimaatscenario]]&amp;InputSirio[[#This Row],[infiltratiecapaciteit]]</f>
        <v>VNieuwHuidig scenarioKlei</v>
      </c>
      <c r="M51">
        <v>4674.1547002812677</v>
      </c>
      <c r="N51">
        <f t="shared" si="1"/>
        <v>0.46741547002812678</v>
      </c>
    </row>
    <row r="52" spans="1:14">
      <c r="A52">
        <v>8</v>
      </c>
      <c r="B52" t="s">
        <v>193</v>
      </c>
      <c r="C52" t="s">
        <v>29</v>
      </c>
      <c r="D52" t="s">
        <v>513</v>
      </c>
      <c r="E52">
        <v>20</v>
      </c>
      <c r="F52">
        <v>20</v>
      </c>
      <c r="G52">
        <v>0</v>
      </c>
      <c r="H52">
        <v>0</v>
      </c>
      <c r="I52">
        <v>0</v>
      </c>
      <c r="J52" t="s">
        <v>515</v>
      </c>
      <c r="K52">
        <v>10000</v>
      </c>
      <c r="L52" s="119" t="str">
        <f>InputSirio[[#This Row],[Type]]&amp;InputSirio[[#This Row],[GSV]]&amp;InputSirio[[#This Row],[Klimaatscenario]]&amp;InputSirio[[#This Row],[infiltratiecapaciteit]]</f>
        <v>VNieuwHuidig scenarioLeem</v>
      </c>
      <c r="M52">
        <v>5806.9040970378564</v>
      </c>
      <c r="N52">
        <f t="shared" si="1"/>
        <v>0.5806904097037856</v>
      </c>
    </row>
    <row r="53" spans="1:14">
      <c r="A53" s="164">
        <v>8</v>
      </c>
      <c r="B53" t="s">
        <v>193</v>
      </c>
      <c r="C53" t="s">
        <v>29</v>
      </c>
      <c r="D53" t="s">
        <v>513</v>
      </c>
      <c r="E53">
        <v>20</v>
      </c>
      <c r="F53">
        <v>20</v>
      </c>
      <c r="G53">
        <v>0</v>
      </c>
      <c r="H53">
        <v>0</v>
      </c>
      <c r="I53">
        <v>0</v>
      </c>
      <c r="J53" t="s">
        <v>23</v>
      </c>
      <c r="K53">
        <v>10000</v>
      </c>
      <c r="L53" s="119" t="str">
        <f>InputSirio[[#This Row],[Type]]&amp;InputSirio[[#This Row],[GSV]]&amp;InputSirio[[#This Row],[Klimaatscenario]]&amp;InputSirio[[#This Row],[infiltratiecapaciteit]]</f>
        <v>VNieuwHuidig scenarioZandige leem</v>
      </c>
      <c r="M53">
        <v>6001.5109749174899</v>
      </c>
      <c r="N53">
        <f t="shared" si="1"/>
        <v>0.600151097491749</v>
      </c>
    </row>
    <row r="54" spans="1:14">
      <c r="A54" s="164">
        <v>8</v>
      </c>
      <c r="B54" t="s">
        <v>193</v>
      </c>
      <c r="C54" t="s">
        <v>29</v>
      </c>
      <c r="D54" t="s">
        <v>513</v>
      </c>
      <c r="E54">
        <v>20</v>
      </c>
      <c r="F54">
        <v>20</v>
      </c>
      <c r="G54">
        <v>0</v>
      </c>
      <c r="H54">
        <v>0</v>
      </c>
      <c r="I54">
        <v>0</v>
      </c>
      <c r="J54" t="s">
        <v>516</v>
      </c>
      <c r="K54">
        <v>10000</v>
      </c>
      <c r="L54" s="119" t="str">
        <f>InputSirio[[#This Row],[Type]]&amp;InputSirio[[#This Row],[GSV]]&amp;InputSirio[[#This Row],[Klimaatscenario]]&amp;InputSirio[[#This Row],[infiltratiecapaciteit]]</f>
        <v>VNieuwHuidig scenarioFijn zand</v>
      </c>
      <c r="M54">
        <v>6125.1091431142331</v>
      </c>
      <c r="N54">
        <f t="shared" si="1"/>
        <v>0.61251091431142335</v>
      </c>
    </row>
    <row r="55" spans="1:14">
      <c r="A55" s="164">
        <v>8</v>
      </c>
      <c r="B55" t="s">
        <v>193</v>
      </c>
      <c r="C55" t="s">
        <v>29</v>
      </c>
      <c r="D55" t="s">
        <v>513</v>
      </c>
      <c r="E55">
        <v>20</v>
      </c>
      <c r="F55">
        <v>20</v>
      </c>
      <c r="G55">
        <v>0</v>
      </c>
      <c r="H55">
        <v>0</v>
      </c>
      <c r="I55">
        <v>0</v>
      </c>
      <c r="J55" t="s">
        <v>517</v>
      </c>
      <c r="K55">
        <v>10000</v>
      </c>
      <c r="L55" s="119" t="str">
        <f>InputSirio[[#This Row],[Type]]&amp;InputSirio[[#This Row],[GSV]]&amp;InputSirio[[#This Row],[Klimaatscenario]]&amp;InputSirio[[#This Row],[infiltratiecapaciteit]]</f>
        <v>VNieuwHuidig scenarioZand</v>
      </c>
      <c r="M55">
        <v>6214.5598531446258</v>
      </c>
      <c r="N55">
        <f t="shared" si="1"/>
        <v>0.62145598531446256</v>
      </c>
    </row>
    <row r="56" spans="1:14">
      <c r="A56" s="164">
        <v>8</v>
      </c>
      <c r="B56" t="s">
        <v>193</v>
      </c>
      <c r="C56" t="s">
        <v>265</v>
      </c>
      <c r="D56" t="s">
        <v>513</v>
      </c>
      <c r="E56">
        <v>20</v>
      </c>
      <c r="F56">
        <v>20</v>
      </c>
      <c r="G56">
        <v>0</v>
      </c>
      <c r="H56">
        <v>0</v>
      </c>
      <c r="I56">
        <v>0</v>
      </c>
      <c r="J56" t="s">
        <v>514</v>
      </c>
      <c r="K56">
        <v>10000</v>
      </c>
      <c r="L56" s="119" t="str">
        <f>InputSirio[[#This Row],[Type]]&amp;InputSirio[[#This Row],[GSV]]&amp;InputSirio[[#This Row],[Klimaatscenario]]&amp;InputSirio[[#This Row],[infiltratiecapaciteit]]</f>
        <v>VHuidigHuidig scenarioKlei</v>
      </c>
      <c r="M56">
        <v>4674.1547002812677</v>
      </c>
      <c r="N56">
        <f t="shared" si="1"/>
        <v>0.46741547002812678</v>
      </c>
    </row>
    <row r="57" spans="1:14">
      <c r="A57" s="164">
        <v>8</v>
      </c>
      <c r="B57" t="s">
        <v>193</v>
      </c>
      <c r="C57" t="s">
        <v>265</v>
      </c>
      <c r="D57" t="s">
        <v>513</v>
      </c>
      <c r="E57">
        <v>20</v>
      </c>
      <c r="F57">
        <v>20</v>
      </c>
      <c r="G57">
        <v>0</v>
      </c>
      <c r="H57">
        <v>0</v>
      </c>
      <c r="I57">
        <v>0</v>
      </c>
      <c r="J57" t="s">
        <v>515</v>
      </c>
      <c r="K57">
        <v>10000</v>
      </c>
      <c r="L57" s="119" t="str">
        <f>InputSirio[[#This Row],[Type]]&amp;InputSirio[[#This Row],[GSV]]&amp;InputSirio[[#This Row],[Klimaatscenario]]&amp;InputSirio[[#This Row],[infiltratiecapaciteit]]</f>
        <v>VHuidigHuidig scenarioLeem</v>
      </c>
      <c r="M57">
        <v>5806.9040970378564</v>
      </c>
      <c r="N57">
        <f t="shared" si="1"/>
        <v>0.5806904097037856</v>
      </c>
    </row>
    <row r="58" spans="1:14">
      <c r="A58" s="164">
        <v>8</v>
      </c>
      <c r="B58" t="s">
        <v>193</v>
      </c>
      <c r="C58" t="s">
        <v>265</v>
      </c>
      <c r="D58" t="s">
        <v>513</v>
      </c>
      <c r="E58">
        <v>20</v>
      </c>
      <c r="F58">
        <v>20</v>
      </c>
      <c r="G58">
        <v>0</v>
      </c>
      <c r="H58">
        <v>0</v>
      </c>
      <c r="I58">
        <v>0</v>
      </c>
      <c r="J58" t="s">
        <v>23</v>
      </c>
      <c r="K58">
        <v>10000</v>
      </c>
      <c r="L58" s="119" t="str">
        <f>InputSirio[[#This Row],[Type]]&amp;InputSirio[[#This Row],[GSV]]&amp;InputSirio[[#This Row],[Klimaatscenario]]&amp;InputSirio[[#This Row],[infiltratiecapaciteit]]</f>
        <v>VHuidigHuidig scenarioZandige leem</v>
      </c>
      <c r="M58">
        <v>6001.5109749174899</v>
      </c>
      <c r="N58">
        <f t="shared" si="1"/>
        <v>0.600151097491749</v>
      </c>
    </row>
    <row r="59" spans="1:14">
      <c r="A59" s="164">
        <v>8</v>
      </c>
      <c r="B59" t="s">
        <v>193</v>
      </c>
      <c r="C59" t="s">
        <v>265</v>
      </c>
      <c r="D59" t="s">
        <v>513</v>
      </c>
      <c r="E59">
        <v>20</v>
      </c>
      <c r="F59">
        <v>20</v>
      </c>
      <c r="G59">
        <v>0</v>
      </c>
      <c r="H59">
        <v>0</v>
      </c>
      <c r="I59">
        <v>0</v>
      </c>
      <c r="J59" t="s">
        <v>516</v>
      </c>
      <c r="K59">
        <v>10000</v>
      </c>
      <c r="L59" s="119" t="str">
        <f>InputSirio[[#This Row],[Type]]&amp;InputSirio[[#This Row],[GSV]]&amp;InputSirio[[#This Row],[Klimaatscenario]]&amp;InputSirio[[#This Row],[infiltratiecapaciteit]]</f>
        <v>VHuidigHuidig scenarioFijn zand</v>
      </c>
      <c r="M59">
        <v>6125.1091431142331</v>
      </c>
      <c r="N59">
        <f t="shared" si="1"/>
        <v>0.61251091431142335</v>
      </c>
    </row>
    <row r="60" spans="1:14">
      <c r="A60" s="164">
        <v>8</v>
      </c>
      <c r="B60" t="s">
        <v>193</v>
      </c>
      <c r="C60" t="s">
        <v>265</v>
      </c>
      <c r="D60" t="s">
        <v>513</v>
      </c>
      <c r="E60">
        <v>20</v>
      </c>
      <c r="F60">
        <v>20</v>
      </c>
      <c r="G60">
        <v>0</v>
      </c>
      <c r="H60">
        <v>0</v>
      </c>
      <c r="I60">
        <v>0</v>
      </c>
      <c r="J60" t="s">
        <v>517</v>
      </c>
      <c r="K60">
        <v>10000</v>
      </c>
      <c r="L60" s="119" t="str">
        <f>InputSirio[[#This Row],[Type]]&amp;InputSirio[[#This Row],[GSV]]&amp;InputSirio[[#This Row],[Klimaatscenario]]&amp;InputSirio[[#This Row],[infiltratiecapaciteit]]</f>
        <v>VHuidigHuidig scenarioZand</v>
      </c>
      <c r="M60">
        <v>6214.5598531446258</v>
      </c>
      <c r="N60">
        <f t="shared" si="1"/>
        <v>0.62145598531446256</v>
      </c>
    </row>
    <row r="61" spans="1:14">
      <c r="A61">
        <v>8</v>
      </c>
      <c r="B61" t="s">
        <v>193</v>
      </c>
      <c r="C61" t="s">
        <v>265</v>
      </c>
      <c r="D61" t="s">
        <v>26</v>
      </c>
      <c r="E61">
        <v>20</v>
      </c>
      <c r="F61">
        <v>20</v>
      </c>
      <c r="G61">
        <v>0</v>
      </c>
      <c r="H61">
        <v>0</v>
      </c>
      <c r="I61">
        <v>0</v>
      </c>
      <c r="J61" t="s">
        <v>517</v>
      </c>
      <c r="K61">
        <v>10000</v>
      </c>
      <c r="L61" s="119" t="str">
        <f>InputSirio[[#This Row],[Type]]&amp;InputSirio[[#This Row],[GSV]]&amp;InputSirio[[#This Row],[Klimaatscenario]]&amp;InputSirio[[#This Row],[infiltratiecapaciteit]]</f>
        <v>VHuidigToekomstig scenarioZand</v>
      </c>
      <c r="M61">
        <v>5905.1723476849384</v>
      </c>
      <c r="N61">
        <f t="shared" si="1"/>
        <v>0.59051723476849383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46789E8E72D44CA1BA5EDD2F3AC984" ma:contentTypeVersion="8" ma:contentTypeDescription="Create a new document." ma:contentTypeScope="" ma:versionID="cefba2450df16ca838c032bc8fb9b1ea">
  <xsd:schema xmlns:xsd="http://www.w3.org/2001/XMLSchema" xmlns:xs="http://www.w3.org/2001/XMLSchema" xmlns:p="http://schemas.microsoft.com/office/2006/metadata/properties" xmlns:ns2="1ce20967-da9b-4958-aeab-a7f51a0966d6" xmlns:ns3="8db6cf36-d783-4ed8-936d-d195b957231e" targetNamespace="http://schemas.microsoft.com/office/2006/metadata/properties" ma:root="true" ma:fieldsID="bde0fd5a721e804cebdf1e58c7619ece" ns2:_="" ns3:_="">
    <xsd:import namespace="1ce20967-da9b-4958-aeab-a7f51a0966d6"/>
    <xsd:import namespace="8db6cf36-d783-4ed8-936d-d195b957231e"/>
    <xsd:element name="properties">
      <xsd:complexType>
        <xsd:sequence>
          <xsd:element name="documentManagement">
            <xsd:complexType>
              <xsd:all>
                <xsd:element ref="ns2:VITODocumentType" minOccurs="0"/>
                <xsd:element ref="ns2:VITOTeam" minOccurs="0"/>
                <xsd:element ref="ns2:VITOOpportunity" minOccurs="0"/>
                <xsd:element ref="ns2:VITOProject" minOccurs="0"/>
                <xsd:element ref="ns2:VITOContactCompany" minOccurs="0"/>
                <xsd:element ref="ns2:VITOUnit"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20967-da9b-4958-aeab-a7f51a0966d6" elementFormDefault="qualified">
    <xsd:import namespace="http://schemas.microsoft.com/office/2006/documentManagement/types"/>
    <xsd:import namespace="http://schemas.microsoft.com/office/infopath/2007/PartnerControls"/>
    <xsd:element name="VITODocumentType" ma:index="8" nillable="true" ma:displayName="Document Type" ma:default="" ma:internalName="VITODocumentType">
      <xsd:simpleType>
        <xsd:union memberTypes="dms:Text">
          <xsd:simpleType>
            <xsd:restriction base="dms:Choice"/>
          </xsd:simpleType>
        </xsd:union>
      </xsd:simpleType>
    </xsd:element>
    <xsd:element name="VITOTeam" ma:index="9" nillable="true" ma:displayName="Team" ma:default="Contractadministratie" ma:internalName="VITOTeam">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VITOOpportunity" ma:index="10" nillable="true" ma:displayName="Opportunity" ma:default="" ma:internalName="VITOOpportunity">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VITOProject" ma:index="11" nillable="true" ma:displayName="Project" ma:default="" ma:internalName="VITOProject">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VITOContactCompany" ma:index="12" nillable="true" ma:displayName="Contact Company" ma:default="" ma:internalName="VITOContactCompany">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VITOUnit" ma:index="13" nillable="true" ma:displayName="Unit" ma:default="" ma:internalName="VITOUnit">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TaxCatchAll" ma:index="18" nillable="true" ma:displayName="Taxonomy Catch All Column" ma:hidden="true" ma:list="{0570defc-b78d-4fcd-9460-de98b0179bb4}" ma:internalName="TaxCatchAll" ma:showField="CatchAllData" ma:web="1ce20967-da9b-4958-aeab-a7f51a0966d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b6cf36-d783-4ed8-936d-d195b957231e"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c20e29d-4d9b-411e-9260-307e9281c90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ce20967-da9b-4958-aeab-a7f51a0966d6" xsi:nil="true"/>
    <VITOOpportunity xmlns="1ce20967-da9b-4958-aeab-a7f51a0966d6" xsi:nil="true"/>
    <VITOProject xmlns="1ce20967-da9b-4958-aeab-a7f51a0966d6" xsi:nil="true"/>
    <VITOContactCompany xmlns="1ce20967-da9b-4958-aeab-a7f51a0966d6" xsi:nil="true"/>
    <VITOTeam xmlns="1ce20967-da9b-4958-aeab-a7f51a0966d6">
      <Value>Contractadministratie</Value>
    </VITOTeam>
    <VITODocumentType xmlns="1ce20967-da9b-4958-aeab-a7f51a0966d6" xsi:nil="true"/>
    <lcf76f155ced4ddcb4097134ff3c332f xmlns="8db6cf36-d783-4ed8-936d-d195b957231e">
      <Terms xmlns="http://schemas.microsoft.com/office/infopath/2007/PartnerControls"/>
    </lcf76f155ced4ddcb4097134ff3c332f>
    <VITOUnit xmlns="1ce20967-da9b-4958-aeab-a7f51a0966d6" xsi:nil="true"/>
  </documentManagement>
</p:properties>
</file>

<file path=customXml/item4.xml>�� 
</file>

<file path=customXml/itemProps1.xml><?xml version="1.0" encoding="utf-8"?>
<ds:datastoreItem xmlns:ds="http://schemas.openxmlformats.org/officeDocument/2006/customXml" ds:itemID="{EE9831A5-B281-4C36-8EAF-6A88EBBB66E5}"/>
</file>

<file path=customXml/itemProps2.xml><?xml version="1.0" encoding="utf-8"?>
<ds:datastoreItem xmlns:ds="http://schemas.openxmlformats.org/officeDocument/2006/customXml" ds:itemID="{71B460C5-62C5-46F1-A674-B762D43A5E80}"/>
</file>

<file path=customXml/itemProps3.xml><?xml version="1.0" encoding="utf-8"?>
<ds:datastoreItem xmlns:ds="http://schemas.openxmlformats.org/officeDocument/2006/customXml" ds:itemID="{3C0FFC82-A469-4349-9C57-C0575B7EE0A0}"/>
</file>

<file path=customXml/itemProps4.xml><?xml version="1.0" encoding="utf-8"?>
<ds:datastoreItem xmlns:ds="http://schemas.openxmlformats.org/officeDocument/2006/customXml" ds:itemID="{6D62929C-85BA-4E07-AD9B-78DA1D275690}"/>
</file>

<file path=docProps/app.xml><?xml version="1.0" encoding="utf-8"?>
<Properties xmlns="http://schemas.openxmlformats.org/officeDocument/2006/extended-properties" xmlns:vt="http://schemas.openxmlformats.org/officeDocument/2006/docPropsVTypes">
  <Application>Microsoft Excel Online</Application>
  <Manager/>
  <Company>VITO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Tavernier Lilian</dc:creator>
  <cp:keywords/>
  <dc:description/>
  <cp:lastModifiedBy>Lilian Tavernier</cp:lastModifiedBy>
  <cp:revision/>
  <dcterms:created xsi:type="dcterms:W3CDTF">2021-11-02T07:48:15Z</dcterms:created>
  <dcterms:modified xsi:type="dcterms:W3CDTF">2023-04-03T12:12:31Z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0x0101004246789E8E72D44CA1BA5EDD2F3AC984</vt:lpwstr>
  </property>
  <property fmtid="{D5CDD505-2E9C-101B-9397-08002B2CF9AE}" pid="3" name="MediaServiceImageTags">
    <vt:lpwstr/>
  </property>
</Properties>
</file>